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Finance\Purchasing\Bids 2023\23-001 ITB - Infrastructure - Install 6&amp;12 in Main (water &amp; sewer)\"/>
    </mc:Choice>
  </mc:AlternateContent>
  <xr:revisionPtr revIDLastSave="0" documentId="13_ncr:1_{064CFB93-C5DB-4353-AED1-81BF2902BEB1}" xr6:coauthVersionLast="47" xr6:coauthVersionMax="47" xr10:uidLastSave="{00000000-0000-0000-0000-000000000000}"/>
  <bookViews>
    <workbookView xWindow="3015" yWindow="3030" windowWidth="28800" windowHeight="15435" xr2:uid="{00000000-000D-0000-FFFF-FFFF00000000}"/>
  </bookViews>
  <sheets>
    <sheet name="Bid Form" sheetId="4" r:id="rId1"/>
    <sheet name="Mike's Update" sheetId="5" r:id="rId2"/>
    <sheet name="For Client" sheetId="7" r:id="rId3"/>
    <sheet name="Fittings #" sheetId="6" r:id="rId4"/>
  </sheets>
  <definedNames>
    <definedName name="_xlnm.Print_Area" localSheetId="0">'Bid Form'!$A$1:$F$48</definedName>
    <definedName name="_xlnm.Print_Area" localSheetId="2">'For Client'!$A$1:$L$37</definedName>
    <definedName name="_xlnm.Print_Titles" localSheetId="0">'Bid Form'!$1:$6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4" l="1"/>
  <c r="F24" i="4"/>
  <c r="U37" i="7"/>
  <c r="T37" i="7"/>
  <c r="L37" i="7"/>
  <c r="I37" i="7"/>
  <c r="H37" i="7"/>
  <c r="G37" i="7"/>
  <c r="K37" i="7" s="1"/>
  <c r="F37" i="7"/>
  <c r="J37" i="7" s="1"/>
  <c r="T36" i="7"/>
  <c r="H36" i="7"/>
  <c r="G36" i="7"/>
  <c r="F36" i="7"/>
  <c r="T32" i="7"/>
  <c r="U32" i="7" s="1"/>
  <c r="L32" i="7"/>
  <c r="K32" i="7"/>
  <c r="I32" i="7"/>
  <c r="J32" i="7" s="1"/>
  <c r="H32" i="7"/>
  <c r="G32" i="7"/>
  <c r="F32" i="7"/>
  <c r="L31" i="7"/>
  <c r="K31" i="7"/>
  <c r="J31" i="7"/>
  <c r="I31" i="7"/>
  <c r="H31" i="7"/>
  <c r="G31" i="7"/>
  <c r="F31" i="7"/>
  <c r="L30" i="7"/>
  <c r="K30" i="7"/>
  <c r="J30" i="7"/>
  <c r="I30" i="7"/>
  <c r="H30" i="7"/>
  <c r="G30" i="7"/>
  <c r="F30" i="7"/>
  <c r="U29" i="7"/>
  <c r="T29" i="7"/>
  <c r="L29" i="7"/>
  <c r="K29" i="7"/>
  <c r="J29" i="7"/>
  <c r="I29" i="7"/>
  <c r="H29" i="7"/>
  <c r="G29" i="7"/>
  <c r="F29" i="7"/>
  <c r="N28" i="7"/>
  <c r="H28" i="7"/>
  <c r="G28" i="7"/>
  <c r="F28" i="7"/>
  <c r="N27" i="7"/>
  <c r="T27" i="7" s="1"/>
  <c r="H27" i="7"/>
  <c r="G27" i="7"/>
  <c r="F27" i="7"/>
  <c r="P26" i="7"/>
  <c r="O26" i="7"/>
  <c r="T26" i="7" s="1"/>
  <c r="H26" i="7"/>
  <c r="G26" i="7"/>
  <c r="F26" i="7"/>
  <c r="K25" i="7"/>
  <c r="I25" i="7"/>
  <c r="J25" i="7" s="1"/>
  <c r="H25" i="7"/>
  <c r="L25" i="7" s="1"/>
  <c r="G25" i="7"/>
  <c r="F25" i="7"/>
  <c r="I24" i="7"/>
  <c r="J24" i="7" s="1"/>
  <c r="H24" i="7"/>
  <c r="L24" i="7" s="1"/>
  <c r="G24" i="7"/>
  <c r="K24" i="7" s="1"/>
  <c r="F24" i="7"/>
  <c r="R23" i="7"/>
  <c r="O23" i="7"/>
  <c r="T23" i="7" s="1"/>
  <c r="D23" i="7" s="1"/>
  <c r="H23" i="7"/>
  <c r="G23" i="7"/>
  <c r="F23" i="7"/>
  <c r="S22" i="7"/>
  <c r="T22" i="7" s="1"/>
  <c r="H22" i="7"/>
  <c r="G22" i="7"/>
  <c r="F22" i="7"/>
  <c r="U21" i="7"/>
  <c r="T21" i="7"/>
  <c r="J21" i="7"/>
  <c r="I21" i="7"/>
  <c r="H21" i="7"/>
  <c r="L21" i="7" s="1"/>
  <c r="G21" i="7"/>
  <c r="K21" i="7" s="1"/>
  <c r="F21" i="7"/>
  <c r="H20" i="7"/>
  <c r="G20" i="7"/>
  <c r="F20" i="7"/>
  <c r="H19" i="7"/>
  <c r="G19" i="7"/>
  <c r="F19" i="7"/>
  <c r="D19" i="7"/>
  <c r="L19" i="7" s="1"/>
  <c r="H18" i="7"/>
  <c r="G18" i="7"/>
  <c r="F18" i="7"/>
  <c r="D18" i="7"/>
  <c r="L18" i="7" s="1"/>
  <c r="R17" i="7"/>
  <c r="Q17" i="7"/>
  <c r="P17" i="7"/>
  <c r="N17" i="7"/>
  <c r="T17" i="7" s="1"/>
  <c r="U17" i="7" s="1"/>
  <c r="H17" i="7"/>
  <c r="G17" i="7"/>
  <c r="F17" i="7"/>
  <c r="D17" i="7"/>
  <c r="I17" i="7" s="1"/>
  <c r="J17" i="7" s="1"/>
  <c r="T16" i="7"/>
  <c r="U16" i="7" s="1"/>
  <c r="S16" i="7"/>
  <c r="J16" i="7"/>
  <c r="I16" i="7"/>
  <c r="H16" i="7"/>
  <c r="L16" i="7" s="1"/>
  <c r="G16" i="7"/>
  <c r="K16" i="7" s="1"/>
  <c r="F16" i="7"/>
  <c r="S15" i="7"/>
  <c r="T15" i="7" s="1"/>
  <c r="U15" i="7" s="1"/>
  <c r="K15" i="7"/>
  <c r="I15" i="7"/>
  <c r="J15" i="7" s="1"/>
  <c r="H15" i="7"/>
  <c r="L15" i="7" s="1"/>
  <c r="G15" i="7"/>
  <c r="F15" i="7"/>
  <c r="S14" i="7"/>
  <c r="R14" i="7"/>
  <c r="T14" i="7" s="1"/>
  <c r="U14" i="7" s="1"/>
  <c r="L14" i="7"/>
  <c r="K14" i="7"/>
  <c r="H14" i="7"/>
  <c r="G14" i="7"/>
  <c r="F14" i="7"/>
  <c r="D14" i="7"/>
  <c r="I14" i="7" s="1"/>
  <c r="J14" i="7" s="1"/>
  <c r="T13" i="7"/>
  <c r="U13" i="7" s="1"/>
  <c r="S13" i="7"/>
  <c r="R13" i="7"/>
  <c r="P13" i="7"/>
  <c r="O13" i="7"/>
  <c r="K13" i="7"/>
  <c r="I13" i="7"/>
  <c r="J13" i="7" s="1"/>
  <c r="H13" i="7"/>
  <c r="G13" i="7"/>
  <c r="F13" i="7"/>
  <c r="D13" i="7"/>
  <c r="L13" i="7" s="1"/>
  <c r="P12" i="7"/>
  <c r="T12" i="7" s="1"/>
  <c r="U12" i="7" s="1"/>
  <c r="L12" i="7"/>
  <c r="H12" i="7"/>
  <c r="G12" i="7"/>
  <c r="F12" i="7"/>
  <c r="D12" i="7"/>
  <c r="K12" i="7" s="1"/>
  <c r="S11" i="7"/>
  <c r="R11" i="7"/>
  <c r="Q11" i="7"/>
  <c r="T11" i="7" s="1"/>
  <c r="H11" i="7"/>
  <c r="G11" i="7"/>
  <c r="F11" i="7"/>
  <c r="S10" i="7"/>
  <c r="S28" i="7" s="1"/>
  <c r="R10" i="7"/>
  <c r="R28" i="7" s="1"/>
  <c r="Q10" i="7"/>
  <c r="P10" i="7"/>
  <c r="H10" i="7"/>
  <c r="G10" i="7"/>
  <c r="F10" i="7"/>
  <c r="S9" i="7"/>
  <c r="R9" i="7"/>
  <c r="Q9" i="7"/>
  <c r="P9" i="7"/>
  <c r="T9" i="7" s="1"/>
  <c r="O9" i="7"/>
  <c r="H9" i="7"/>
  <c r="G9" i="7"/>
  <c r="F9" i="7"/>
  <c r="S8" i="7"/>
  <c r="R8" i="7"/>
  <c r="Q8" i="7"/>
  <c r="Q28" i="7" s="1"/>
  <c r="P8" i="7"/>
  <c r="P28" i="7" s="1"/>
  <c r="O8" i="7"/>
  <c r="O28" i="7" s="1"/>
  <c r="N8" i="7"/>
  <c r="H8" i="7"/>
  <c r="G8" i="7"/>
  <c r="F8" i="7"/>
  <c r="K7" i="7"/>
  <c r="J7" i="7"/>
  <c r="I7" i="7"/>
  <c r="H7" i="7"/>
  <c r="L7" i="7" s="1"/>
  <c r="G7" i="7"/>
  <c r="F7" i="7"/>
  <c r="I6" i="7"/>
  <c r="L6" i="7" s="1"/>
  <c r="H6" i="7"/>
  <c r="G6" i="7"/>
  <c r="F6" i="7"/>
  <c r="L5" i="7"/>
  <c r="I5" i="7"/>
  <c r="K5" i="7" s="1"/>
  <c r="H5" i="7"/>
  <c r="G5" i="7"/>
  <c r="F5" i="7"/>
  <c r="L4" i="7"/>
  <c r="K4" i="7"/>
  <c r="I4" i="7"/>
  <c r="J4" i="7" s="1"/>
  <c r="D28" i="5"/>
  <c r="A36" i="4"/>
  <c r="B36" i="4"/>
  <c r="C36" i="4"/>
  <c r="D36" i="4"/>
  <c r="F36" i="4" s="1"/>
  <c r="F31" i="5"/>
  <c r="G31" i="5"/>
  <c r="K31" i="5"/>
  <c r="H31" i="5"/>
  <c r="L31" i="5"/>
  <c r="I31" i="5"/>
  <c r="J31" i="5"/>
  <c r="O28" i="5"/>
  <c r="P28" i="5"/>
  <c r="Q28" i="5"/>
  <c r="R28" i="5"/>
  <c r="S28" i="5"/>
  <c r="N28" i="5"/>
  <c r="C23" i="4"/>
  <c r="C24" i="4"/>
  <c r="A29" i="4"/>
  <c r="B29" i="4"/>
  <c r="C29" i="4"/>
  <c r="D29" i="4"/>
  <c r="F29" i="4" s="1"/>
  <c r="I24" i="5"/>
  <c r="J24" i="5" s="1"/>
  <c r="F24" i="5"/>
  <c r="G24" i="5"/>
  <c r="K24" i="5" s="1"/>
  <c r="H24" i="5"/>
  <c r="L24" i="5" s="1"/>
  <c r="C30" i="4"/>
  <c r="B27" i="4"/>
  <c r="A9" i="4"/>
  <c r="B9" i="4"/>
  <c r="C9" i="4"/>
  <c r="D9" i="4"/>
  <c r="F9" i="4" s="1"/>
  <c r="I4" i="5"/>
  <c r="J4" i="5" s="1"/>
  <c r="D44" i="4"/>
  <c r="A21" i="4"/>
  <c r="B21" i="4"/>
  <c r="C21" i="4"/>
  <c r="D21" i="4"/>
  <c r="F21" i="4" s="1"/>
  <c r="A22" i="4"/>
  <c r="B22" i="4"/>
  <c r="A23" i="4"/>
  <c r="B23" i="4"/>
  <c r="A24" i="4"/>
  <c r="B24" i="4"/>
  <c r="A25" i="4"/>
  <c r="B25" i="4"/>
  <c r="C25" i="4"/>
  <c r="A26" i="4"/>
  <c r="B26" i="4"/>
  <c r="C26" i="4"/>
  <c r="D26" i="4"/>
  <c r="F26" i="4" s="1"/>
  <c r="A27" i="4"/>
  <c r="C27" i="4"/>
  <c r="A28" i="4"/>
  <c r="B28" i="4"/>
  <c r="C28" i="4"/>
  <c r="A30" i="4"/>
  <c r="B30" i="4"/>
  <c r="D30" i="4"/>
  <c r="F30" i="4" s="1"/>
  <c r="A31" i="4"/>
  <c r="B31" i="4"/>
  <c r="C31" i="4"/>
  <c r="A32" i="4"/>
  <c r="B32" i="4"/>
  <c r="C32" i="4"/>
  <c r="A33" i="4"/>
  <c r="B33" i="4"/>
  <c r="C33" i="4"/>
  <c r="A34" i="4"/>
  <c r="B34" i="4"/>
  <c r="C34" i="4"/>
  <c r="D34" i="4"/>
  <c r="F34" i="4" s="1"/>
  <c r="A35" i="4"/>
  <c r="B35" i="4"/>
  <c r="C35" i="4"/>
  <c r="D35" i="4"/>
  <c r="F35" i="4" s="1"/>
  <c r="A37" i="4"/>
  <c r="B37" i="4"/>
  <c r="C37" i="4"/>
  <c r="D37" i="4"/>
  <c r="F37" i="4" s="1"/>
  <c r="A8" i="4"/>
  <c r="B8" i="4"/>
  <c r="C8" i="4"/>
  <c r="D8" i="4"/>
  <c r="F8" i="4" s="1"/>
  <c r="A10" i="4"/>
  <c r="B10" i="4"/>
  <c r="C10" i="4"/>
  <c r="D10" i="4"/>
  <c r="F10" i="4" s="1"/>
  <c r="A11" i="4"/>
  <c r="B11" i="4"/>
  <c r="C11" i="4"/>
  <c r="D11" i="4"/>
  <c r="F11" i="4" s="1"/>
  <c r="A12" i="4"/>
  <c r="B12" i="4"/>
  <c r="C12" i="4"/>
  <c r="D12" i="4"/>
  <c r="F12" i="4" s="1"/>
  <c r="A13" i="4"/>
  <c r="B13" i="4"/>
  <c r="C13" i="4"/>
  <c r="A14" i="4"/>
  <c r="B14" i="4"/>
  <c r="C14" i="4"/>
  <c r="A15" i="4"/>
  <c r="B15" i="4"/>
  <c r="C15" i="4"/>
  <c r="A16" i="4"/>
  <c r="B16" i="4"/>
  <c r="C16" i="4"/>
  <c r="A17" i="4"/>
  <c r="B17" i="4"/>
  <c r="C17" i="4"/>
  <c r="A18" i="4"/>
  <c r="B18" i="4"/>
  <c r="C18" i="4"/>
  <c r="A19" i="4"/>
  <c r="B19" i="4"/>
  <c r="C19" i="4"/>
  <c r="A20" i="4"/>
  <c r="B20" i="4"/>
  <c r="C20" i="4"/>
  <c r="D20" i="4"/>
  <c r="F20" i="4" s="1"/>
  <c r="B7" i="4"/>
  <c r="C7" i="4"/>
  <c r="D7" i="4"/>
  <c r="F7" i="4" s="1"/>
  <c r="A7" i="4"/>
  <c r="F30" i="5"/>
  <c r="G30" i="5"/>
  <c r="K30" i="5" s="1"/>
  <c r="H30" i="5"/>
  <c r="L30" i="5" s="1"/>
  <c r="I30" i="5"/>
  <c r="J30" i="5" s="1"/>
  <c r="N27" i="5"/>
  <c r="T27" i="5" s="1"/>
  <c r="D27" i="5" s="1"/>
  <c r="D32" i="4" s="1"/>
  <c r="F32" i="4" s="1"/>
  <c r="I32" i="5"/>
  <c r="J32" i="5" s="1"/>
  <c r="I29" i="5"/>
  <c r="J29" i="5" s="1"/>
  <c r="I25" i="5"/>
  <c r="J25" i="5" s="1"/>
  <c r="I21" i="5"/>
  <c r="J21" i="5" s="1"/>
  <c r="I16" i="5"/>
  <c r="J16" i="5" s="1"/>
  <c r="I15" i="5"/>
  <c r="J15" i="5" s="1"/>
  <c r="I7" i="5"/>
  <c r="K7" i="5" s="1"/>
  <c r="I6" i="5"/>
  <c r="L6" i="5" s="1"/>
  <c r="I5" i="5"/>
  <c r="J5" i="5" s="1"/>
  <c r="F20" i="5"/>
  <c r="G20" i="5"/>
  <c r="H20" i="5"/>
  <c r="F25" i="5"/>
  <c r="G25" i="5"/>
  <c r="K25" i="5" s="1"/>
  <c r="H25" i="5"/>
  <c r="L25" i="5" s="1"/>
  <c r="D19" i="5"/>
  <c r="I19" i="5" s="1"/>
  <c r="J19" i="5" s="1"/>
  <c r="H26" i="6"/>
  <c r="G25" i="6"/>
  <c r="H25" i="6"/>
  <c r="F25" i="6"/>
  <c r="F24" i="6"/>
  <c r="H24" i="6" s="1"/>
  <c r="F23" i="6"/>
  <c r="H23" i="6" s="1"/>
  <c r="G23" i="6"/>
  <c r="F19" i="5"/>
  <c r="G19" i="5"/>
  <c r="H19" i="5"/>
  <c r="F18" i="6"/>
  <c r="H18" i="6" s="1"/>
  <c r="E18" i="6"/>
  <c r="G17" i="6"/>
  <c r="F17" i="6"/>
  <c r="G16" i="6"/>
  <c r="H16" i="6" s="1"/>
  <c r="F16" i="6"/>
  <c r="E16" i="6"/>
  <c r="G14" i="6"/>
  <c r="F14" i="6"/>
  <c r="H14" i="6" s="1"/>
  <c r="E14" i="6"/>
  <c r="G13" i="6"/>
  <c r="F13" i="6"/>
  <c r="E13" i="6"/>
  <c r="G12" i="6"/>
  <c r="F12" i="6"/>
  <c r="H12" i="6" s="1"/>
  <c r="E12" i="6"/>
  <c r="G10" i="6"/>
  <c r="H10" i="6" s="1"/>
  <c r="F10" i="6"/>
  <c r="E10" i="6"/>
  <c r="G7" i="6"/>
  <c r="F7" i="6"/>
  <c r="H7" i="6" s="1"/>
  <c r="E7" i="6"/>
  <c r="G6" i="6"/>
  <c r="F6" i="6"/>
  <c r="E6" i="6"/>
  <c r="G5" i="6"/>
  <c r="F5" i="6"/>
  <c r="H5" i="6" s="1"/>
  <c r="E5" i="6"/>
  <c r="G4" i="6"/>
  <c r="H4" i="6" s="1"/>
  <c r="F4" i="6"/>
  <c r="E4" i="6"/>
  <c r="G3" i="6"/>
  <c r="F3" i="6"/>
  <c r="E3" i="6"/>
  <c r="F5" i="5"/>
  <c r="G5" i="5"/>
  <c r="H5" i="5"/>
  <c r="F6" i="5"/>
  <c r="G6" i="5"/>
  <c r="H6" i="5"/>
  <c r="F7" i="5"/>
  <c r="G7" i="5"/>
  <c r="H7" i="5"/>
  <c r="L7" i="5" s="1"/>
  <c r="F8" i="5"/>
  <c r="G8" i="5"/>
  <c r="H8" i="5"/>
  <c r="N8" i="5"/>
  <c r="O8" i="5"/>
  <c r="P8" i="5"/>
  <c r="Q8" i="5"/>
  <c r="R8" i="5"/>
  <c r="S8" i="5"/>
  <c r="F9" i="5"/>
  <c r="G9" i="5"/>
  <c r="H9" i="5"/>
  <c r="O9" i="5"/>
  <c r="P9" i="5"/>
  <c r="Q9" i="5"/>
  <c r="R9" i="5"/>
  <c r="S9" i="5"/>
  <c r="F10" i="5"/>
  <c r="G10" i="5"/>
  <c r="H10" i="5"/>
  <c r="P10" i="5"/>
  <c r="Q10" i="5"/>
  <c r="R10" i="5"/>
  <c r="S10" i="5"/>
  <c r="F11" i="5"/>
  <c r="G11" i="5"/>
  <c r="H11" i="5"/>
  <c r="Q11" i="5"/>
  <c r="R11" i="5"/>
  <c r="S11" i="5"/>
  <c r="D12" i="5"/>
  <c r="D17" i="4" s="1"/>
  <c r="F17" i="4" s="1"/>
  <c r="F12" i="5"/>
  <c r="G12" i="5"/>
  <c r="H12" i="5"/>
  <c r="P12" i="5"/>
  <c r="T12" i="5" s="1"/>
  <c r="D13" i="5"/>
  <c r="D18" i="4" s="1"/>
  <c r="F18" i="4" s="1"/>
  <c r="F13" i="5"/>
  <c r="G13" i="5"/>
  <c r="H13" i="5"/>
  <c r="O13" i="5"/>
  <c r="P13" i="5"/>
  <c r="R13" i="5"/>
  <c r="S13" i="5"/>
  <c r="D14" i="5"/>
  <c r="D19" i="4" s="1"/>
  <c r="F19" i="4" s="1"/>
  <c r="F14" i="5"/>
  <c r="G14" i="5"/>
  <c r="H14" i="5"/>
  <c r="R14" i="5"/>
  <c r="S14" i="5"/>
  <c r="F15" i="5"/>
  <c r="G15" i="5"/>
  <c r="K15" i="5" s="1"/>
  <c r="H15" i="5"/>
  <c r="L15" i="5" s="1"/>
  <c r="S15" i="5"/>
  <c r="T15" i="5" s="1"/>
  <c r="U15" i="5" s="1"/>
  <c r="F16" i="5"/>
  <c r="G16" i="5"/>
  <c r="K16" i="5" s="1"/>
  <c r="H16" i="5"/>
  <c r="L16" i="5" s="1"/>
  <c r="S16" i="5"/>
  <c r="T16" i="5" s="1"/>
  <c r="U16" i="5" s="1"/>
  <c r="F17" i="5"/>
  <c r="G17" i="5"/>
  <c r="H17" i="5"/>
  <c r="N17" i="5"/>
  <c r="P17" i="5"/>
  <c r="Q17" i="5"/>
  <c r="R17" i="5"/>
  <c r="F18" i="5"/>
  <c r="G18" i="5"/>
  <c r="H18" i="5"/>
  <c r="F21" i="5"/>
  <c r="G21" i="5"/>
  <c r="K21" i="5" s="1"/>
  <c r="H21" i="5"/>
  <c r="L21" i="5" s="1"/>
  <c r="T21" i="5"/>
  <c r="U21" i="5" s="1"/>
  <c r="F22" i="5"/>
  <c r="G22" i="5"/>
  <c r="H22" i="5"/>
  <c r="O23" i="5"/>
  <c r="R23" i="5"/>
  <c r="S22" i="5"/>
  <c r="F23" i="5"/>
  <c r="G23" i="5"/>
  <c r="H23" i="5"/>
  <c r="F26" i="5"/>
  <c r="G26" i="5"/>
  <c r="H26" i="5"/>
  <c r="O26" i="5"/>
  <c r="P26" i="5"/>
  <c r="F27" i="5"/>
  <c r="G27" i="5"/>
  <c r="H27" i="5"/>
  <c r="F28" i="5"/>
  <c r="G28" i="5"/>
  <c r="H28" i="5"/>
  <c r="F29" i="5"/>
  <c r="G29" i="5"/>
  <c r="K29" i="5" s="1"/>
  <c r="H29" i="5"/>
  <c r="L29" i="5" s="1"/>
  <c r="T29" i="5"/>
  <c r="U29" i="5" s="1"/>
  <c r="F32" i="5"/>
  <c r="G32" i="5"/>
  <c r="K32" i="5" s="1"/>
  <c r="H32" i="5"/>
  <c r="L32" i="5" s="1"/>
  <c r="T32" i="5"/>
  <c r="U32" i="5" s="1"/>
  <c r="F36" i="5"/>
  <c r="G36" i="5"/>
  <c r="H36" i="5"/>
  <c r="T36" i="5"/>
  <c r="F37" i="5"/>
  <c r="J37" i="5" s="1"/>
  <c r="G37" i="5"/>
  <c r="K37" i="5" s="1"/>
  <c r="H37" i="5"/>
  <c r="L37" i="5" s="1"/>
  <c r="I37" i="5"/>
  <c r="T37" i="5"/>
  <c r="U37" i="5" s="1"/>
  <c r="D9" i="7" l="1"/>
  <c r="U9" i="7" s="1"/>
  <c r="D27" i="7"/>
  <c r="U27" i="7" s="1"/>
  <c r="D22" i="7"/>
  <c r="U22" i="7" s="1"/>
  <c r="D11" i="7"/>
  <c r="U11" i="7"/>
  <c r="D26" i="7"/>
  <c r="U26" i="7" s="1"/>
  <c r="T28" i="7"/>
  <c r="I23" i="7"/>
  <c r="J23" i="7" s="1"/>
  <c r="L23" i="7"/>
  <c r="K23" i="7"/>
  <c r="T10" i="7"/>
  <c r="K17" i="7"/>
  <c r="I19" i="7"/>
  <c r="J19" i="7" s="1"/>
  <c r="T8" i="7"/>
  <c r="L17" i="7"/>
  <c r="I18" i="7"/>
  <c r="J18" i="7" s="1"/>
  <c r="J6" i="7"/>
  <c r="I12" i="7"/>
  <c r="J12" i="7" s="1"/>
  <c r="J5" i="7"/>
  <c r="K6" i="7"/>
  <c r="K18" i="7"/>
  <c r="K19" i="7"/>
  <c r="E20" i="6"/>
  <c r="D17" i="5" s="1"/>
  <c r="I17" i="5" s="1"/>
  <c r="J17" i="5" s="1"/>
  <c r="H3" i="6"/>
  <c r="J7" i="5"/>
  <c r="I12" i="5"/>
  <c r="J12" i="5" s="1"/>
  <c r="I13" i="5"/>
  <c r="J13" i="5" s="1"/>
  <c r="I14" i="5"/>
  <c r="J14" i="5" s="1"/>
  <c r="J6" i="5"/>
  <c r="L4" i="5"/>
  <c r="K4" i="5"/>
  <c r="T23" i="5"/>
  <c r="D23" i="5" s="1"/>
  <c r="U12" i="5"/>
  <c r="K6" i="5"/>
  <c r="L23" i="5"/>
  <c r="T14" i="5"/>
  <c r="U14" i="5" s="1"/>
  <c r="L12" i="5"/>
  <c r="T13" i="5"/>
  <c r="U13" i="5" s="1"/>
  <c r="T26" i="5"/>
  <c r="D26" i="5" s="1"/>
  <c r="T10" i="5"/>
  <c r="D10" i="5" s="1"/>
  <c r="L13" i="5"/>
  <c r="T9" i="5"/>
  <c r="D9" i="5" s="1"/>
  <c r="K13" i="5"/>
  <c r="T17" i="5"/>
  <c r="T22" i="5"/>
  <c r="T11" i="5"/>
  <c r="D11" i="5" s="1"/>
  <c r="T8" i="5"/>
  <c r="D8" i="5" s="1"/>
  <c r="L19" i="5"/>
  <c r="K19" i="5"/>
  <c r="H13" i="6"/>
  <c r="H20" i="6" s="1"/>
  <c r="D18" i="5" s="1"/>
  <c r="H17" i="6"/>
  <c r="H6" i="6"/>
  <c r="I27" i="5"/>
  <c r="J27" i="5" s="1"/>
  <c r="K14" i="5"/>
  <c r="K12" i="5"/>
  <c r="L5" i="5"/>
  <c r="L14" i="5"/>
  <c r="K5" i="5"/>
  <c r="D8" i="7" l="1"/>
  <c r="U8" i="7" s="1"/>
  <c r="I11" i="7"/>
  <c r="J11" i="7" s="1"/>
  <c r="K11" i="7"/>
  <c r="L11" i="7"/>
  <c r="L22" i="7"/>
  <c r="K22" i="7"/>
  <c r="I22" i="7"/>
  <c r="J22" i="7" s="1"/>
  <c r="D36" i="7"/>
  <c r="L9" i="7"/>
  <c r="K9" i="7"/>
  <c r="I9" i="7"/>
  <c r="J9" i="7" s="1"/>
  <c r="L26" i="7"/>
  <c r="I26" i="7"/>
  <c r="J26" i="7" s="1"/>
  <c r="K26" i="7"/>
  <c r="D10" i="7"/>
  <c r="D28" i="7"/>
  <c r="U28" i="7" s="1"/>
  <c r="L27" i="7"/>
  <c r="K27" i="7"/>
  <c r="I27" i="7"/>
  <c r="J27" i="7" s="1"/>
  <c r="K17" i="5"/>
  <c r="I18" i="5"/>
  <c r="J18" i="5" s="1"/>
  <c r="D23" i="4"/>
  <c r="F23" i="4" s="1"/>
  <c r="L17" i="5"/>
  <c r="U17" i="5"/>
  <c r="D22" i="4"/>
  <c r="F22" i="4" s="1"/>
  <c r="K18" i="5"/>
  <c r="L18" i="5"/>
  <c r="I9" i="5"/>
  <c r="J9" i="5" s="1"/>
  <c r="D14" i="4"/>
  <c r="F14" i="4" s="1"/>
  <c r="D13" i="4"/>
  <c r="F13" i="4" s="1"/>
  <c r="I8" i="5"/>
  <c r="D15" i="4"/>
  <c r="F15" i="4" s="1"/>
  <c r="I10" i="5"/>
  <c r="J10" i="5" s="1"/>
  <c r="K23" i="5"/>
  <c r="I23" i="5"/>
  <c r="J23" i="5" s="1"/>
  <c r="D28" i="4"/>
  <c r="F28" i="4" s="1"/>
  <c r="D31" i="4"/>
  <c r="F31" i="4" s="1"/>
  <c r="I26" i="5"/>
  <c r="J26" i="5" s="1"/>
  <c r="I11" i="5"/>
  <c r="J11" i="5" s="1"/>
  <c r="D16" i="4"/>
  <c r="F16" i="4" s="1"/>
  <c r="T28" i="5"/>
  <c r="K10" i="5"/>
  <c r="D20" i="5"/>
  <c r="U11" i="5"/>
  <c r="K26" i="5"/>
  <c r="U9" i="5"/>
  <c r="D36" i="5"/>
  <c r="D43" i="4" s="1"/>
  <c r="U10" i="5"/>
  <c r="L10" i="5"/>
  <c r="L26" i="5"/>
  <c r="U26" i="5"/>
  <c r="D22" i="5"/>
  <c r="K27" i="5"/>
  <c r="L27" i="5"/>
  <c r="K8" i="5"/>
  <c r="L8" i="5"/>
  <c r="L11" i="5"/>
  <c r="K11" i="5"/>
  <c r="U8" i="5"/>
  <c r="U27" i="5"/>
  <c r="K9" i="5"/>
  <c r="L9" i="5"/>
  <c r="F38" i="4" l="1"/>
  <c r="L10" i="7"/>
  <c r="K10" i="7"/>
  <c r="I10" i="7"/>
  <c r="J10" i="7" s="1"/>
  <c r="I28" i="7"/>
  <c r="J28" i="7" s="1"/>
  <c r="L28" i="7"/>
  <c r="K28" i="7"/>
  <c r="U10" i="7"/>
  <c r="L36" i="7"/>
  <c r="K36" i="7"/>
  <c r="J36" i="7"/>
  <c r="U36" i="7"/>
  <c r="I36" i="7"/>
  <c r="D20" i="7"/>
  <c r="L8" i="7"/>
  <c r="K8" i="7"/>
  <c r="I8" i="7"/>
  <c r="J8" i="5"/>
  <c r="D33" i="4"/>
  <c r="F33" i="4" s="1"/>
  <c r="I28" i="5"/>
  <c r="J28" i="5" s="1"/>
  <c r="U28" i="5"/>
  <c r="L28" i="5"/>
  <c r="K28" i="5"/>
  <c r="I22" i="5"/>
  <c r="J22" i="5" s="1"/>
  <c r="D27" i="4"/>
  <c r="F27" i="4" s="1"/>
  <c r="D25" i="4"/>
  <c r="F25" i="4" s="1"/>
  <c r="I20" i="5"/>
  <c r="J20" i="5" s="1"/>
  <c r="K20" i="5"/>
  <c r="L20" i="5"/>
  <c r="J36" i="5"/>
  <c r="U36" i="5"/>
  <c r="L36" i="5"/>
  <c r="K36" i="5"/>
  <c r="I36" i="5"/>
  <c r="K22" i="5"/>
  <c r="L22" i="5"/>
  <c r="U22" i="5"/>
  <c r="J8" i="7" l="1"/>
  <c r="L20" i="7"/>
  <c r="K20" i="7"/>
  <c r="I20" i="7"/>
  <c r="J20" i="7" s="1"/>
  <c r="E3" i="5"/>
  <c r="I3" i="5" s="1"/>
  <c r="E2" i="5"/>
  <c r="I2" i="5" s="1"/>
  <c r="E3" i="7" l="1"/>
  <c r="I3" i="7" s="1"/>
  <c r="E2" i="7"/>
  <c r="I2" i="7" s="1"/>
  <c r="L3" i="5"/>
  <c r="J3" i="5"/>
  <c r="L2" i="5"/>
  <c r="J2" i="5"/>
  <c r="K2" i="5"/>
  <c r="K2" i="7" l="1"/>
  <c r="K33" i="7" s="1"/>
  <c r="J2" i="7"/>
  <c r="L2" i="7"/>
  <c r="I33" i="7"/>
  <c r="K3" i="7"/>
  <c r="L3" i="7"/>
  <c r="J3" i="7"/>
  <c r="L33" i="5"/>
  <c r="J33" i="5"/>
  <c r="K3" i="5"/>
  <c r="K33" i="5" s="1"/>
  <c r="I33" i="5"/>
  <c r="L33" i="7" l="1"/>
  <c r="J33" i="7"/>
</calcChain>
</file>

<file path=xl/sharedStrings.xml><?xml version="1.0" encoding="utf-8"?>
<sst xmlns="http://schemas.openxmlformats.org/spreadsheetml/2006/main" count="241" uniqueCount="102">
  <si>
    <t>Item #</t>
  </si>
  <si>
    <t>Description</t>
  </si>
  <si>
    <t>Units</t>
  </si>
  <si>
    <t>Quantity</t>
  </si>
  <si>
    <t>Unit Price</t>
  </si>
  <si>
    <t>Total Price</t>
  </si>
  <si>
    <t>LS</t>
  </si>
  <si>
    <t>Maintenance of Traffic</t>
  </si>
  <si>
    <t>LF</t>
  </si>
  <si>
    <t>EA</t>
  </si>
  <si>
    <t>SY</t>
  </si>
  <si>
    <t>Total</t>
  </si>
  <si>
    <t>6-inch HDPE to PVCP Transition Coupling with Restrained Joints</t>
  </si>
  <si>
    <t>A-2</t>
  </si>
  <si>
    <t>6-inch (I.D.) DR11 (PE4710) HDPE Force Main (Trenchless Installation)</t>
  </si>
  <si>
    <t>A-1</t>
  </si>
  <si>
    <t>Certified Arborist Consultant</t>
  </si>
  <si>
    <t>Sod</t>
  </si>
  <si>
    <t>Asphalt Pavement Restoration</t>
  </si>
  <si>
    <t>SF</t>
  </si>
  <si>
    <t>2-inch Air and Vacuum Valve Assembly (Type I)</t>
  </si>
  <si>
    <t>Remove and Replace Existing Chain Link Fence</t>
  </si>
  <si>
    <t>Lb</t>
  </si>
  <si>
    <t>Ductile Iron Fittings (without joint accessories)</t>
  </si>
  <si>
    <t>12-inch DR18 FPVC Water Main (Trenchless Installation)</t>
  </si>
  <si>
    <t>12-inch DR18 PVC Water Main (Open Trench Installation)</t>
  </si>
  <si>
    <t>6-inch DR18 FPVC Force Main (Trenchless Installation)</t>
  </si>
  <si>
    <t>Manhole Rehabilitation and Lining</t>
  </si>
  <si>
    <t>Prevention, Control and Abatement of Erosion and Water Pollution</t>
  </si>
  <si>
    <t>Not sure where this item is</t>
  </si>
  <si>
    <t>C6.0</t>
  </si>
  <si>
    <t>C5.0</t>
  </si>
  <si>
    <t>C4.0</t>
  </si>
  <si>
    <t>C3.0</t>
  </si>
  <si>
    <t>C2.0</t>
  </si>
  <si>
    <t>C1.0</t>
  </si>
  <si>
    <t>Total Cost</t>
  </si>
  <si>
    <t>40% Increase from Base</t>
  </si>
  <si>
    <t>30% Increase from Base</t>
  </si>
  <si>
    <t>20% Increase from Base</t>
  </si>
  <si>
    <t>Unit Cost</t>
  </si>
  <si>
    <t>Unit</t>
  </si>
  <si>
    <t>Item</t>
  </si>
  <si>
    <t>Item Number</t>
  </si>
  <si>
    <t>#</t>
  </si>
  <si>
    <t>$</t>
  </si>
  <si>
    <t>Size</t>
  </si>
  <si>
    <t>Bend Deg</t>
  </si>
  <si>
    <t>Fitting #</t>
  </si>
  <si>
    <t>Total #</t>
  </si>
  <si>
    <t>EBBA Joint Acces.</t>
  </si>
  <si>
    <t>Joints</t>
  </si>
  <si>
    <t>2006PV</t>
  </si>
  <si>
    <t>6 IN RSTRNT FOR C900/IPS PVC</t>
  </si>
  <si>
    <t>2008PV</t>
  </si>
  <si>
    <t>8 IN RSTRNT FOR C900/IPS PVC</t>
  </si>
  <si>
    <t>2012PV</t>
  </si>
  <si>
    <t>12 IN RSTRNT FOR C900/IPS PVC</t>
  </si>
  <si>
    <t>cap</t>
  </si>
  <si>
    <t>2006PEC</t>
  </si>
  <si>
    <t>PKGD 2006PV FOR PVC/C900 W/ESG</t>
  </si>
  <si>
    <t>tee</t>
  </si>
  <si>
    <t>2008PEC</t>
  </si>
  <si>
    <t>PKGD 2008PV FOR PVC/C900 W/ESG</t>
  </si>
  <si>
    <t>2012PEC</t>
  </si>
  <si>
    <t>PKGD 2012PV FOR PVC/C900 W/ESG</t>
  </si>
  <si>
    <t>12x8</t>
  </si>
  <si>
    <t>reducer</t>
  </si>
  <si>
    <t>Totals</t>
  </si>
  <si>
    <t>FULL PRESS SPLIT RSTR HARNESS FOR AWWA C900/909</t>
  </si>
  <si>
    <t>2-inch Air and Vacuum Valve Assembly (Type II)</t>
  </si>
  <si>
    <t>Pipe Bedding (#57 crushed gravel, 6-in thick)</t>
  </si>
  <si>
    <t>6-inch Resilient-seated Gate Valve and Box</t>
  </si>
  <si>
    <t>12-inch Resilient-seated Gate Valve and Box</t>
  </si>
  <si>
    <t>Total Cost + 25%</t>
  </si>
  <si>
    <t>Total Cost + 30%</t>
  </si>
  <si>
    <t>Total Cost + 40%</t>
  </si>
  <si>
    <t>BID ALTERNATES</t>
  </si>
  <si>
    <t>Performance and Payment Bonds</t>
  </si>
  <si>
    <t>8-inch Resilient-seated Gate Valve and Box</t>
  </si>
  <si>
    <t>Inline Sample Tap</t>
  </si>
  <si>
    <t>12-inch by 12-inch Stainless Steel Tapping Sleeve and Gate Valve</t>
  </si>
  <si>
    <t>Ductile Iron Retainer Glands &amp; Joint Accessories (Mechanical Joints)</t>
  </si>
  <si>
    <t>Ductile Iron Split Restraint Harnesses (Push-on Joint PVC)</t>
  </si>
  <si>
    <t>Remove, protect and reset Golf Course Marker</t>
  </si>
  <si>
    <t>Closeout Documentation (including record drawings)</t>
  </si>
  <si>
    <t>Mobilization/ Demobilization</t>
  </si>
  <si>
    <t>Putting Green and Sand Trap Protection and Restoration</t>
  </si>
  <si>
    <t>Miscellaneous Tree Trimming and Removal</t>
  </si>
  <si>
    <t>Concrete Walk Removal and Restoration (6-inch thick)</t>
  </si>
  <si>
    <r>
      <t>Miscellaneous golf course irrigation line repair (</t>
    </r>
    <r>
      <rPr>
        <sz val="11"/>
        <color theme="1"/>
        <rFont val="Calibri"/>
        <family val="2"/>
      </rPr>
      <t>≤</t>
    </r>
    <r>
      <rPr>
        <sz val="11"/>
        <color theme="1"/>
        <rFont val="Arial"/>
        <family val="2"/>
      </rPr>
      <t xml:space="preserve"> 2-inch dia.)</t>
    </r>
  </si>
  <si>
    <t>6-inch DR18 PVC Force Main (Open Trench Installation)</t>
  </si>
  <si>
    <t>8-inch DR18 PVC Water Main (Open Trench Installation)</t>
  </si>
  <si>
    <t>Base Bid Total (Written):</t>
  </si>
  <si>
    <t>VENDOR NAME:</t>
  </si>
  <si>
    <r>
      <t>NOTE 1</t>
    </r>
    <r>
      <rPr>
        <b/>
        <sz val="12"/>
        <rFont val="Times New Roman"/>
        <family val="1"/>
      </rPr>
      <t>:  ALL ITEMS QUOTED MUST BE IN COMPLIANCE WITH THE SPECIFICATIONS.  IF YOU ARE TAKING EXCEPTION, INDICATE THOSE EXCEPTIONS ON COMPANY LETTERHEAD AND ATTACH TO THIS INVITATION TO BID.</t>
    </r>
  </si>
  <si>
    <t>Re-check your quotations prior to submission. 
Bids may not be changed after being opened.</t>
  </si>
  <si>
    <r>
      <t>NOTE 3</t>
    </r>
    <r>
      <rPr>
        <sz val="12"/>
        <rFont val="Times New Roman"/>
        <family val="1"/>
      </rPr>
      <t xml:space="preserve">:   	FOB Point:  </t>
    </r>
    <r>
      <rPr>
        <b/>
        <u/>
        <sz val="12"/>
        <rFont val="Times New Roman"/>
        <family val="1"/>
      </rPr>
      <t xml:space="preserve">Delivered </t>
    </r>
  </si>
  <si>
    <r>
      <t>NOTE 2</t>
    </r>
    <r>
      <rPr>
        <b/>
        <sz val="12"/>
        <rFont val="Times New Roman"/>
        <family val="1"/>
      </rPr>
      <t xml:space="preserve">:  </t>
    </r>
    <r>
      <rPr>
        <sz val="12"/>
        <rFont val="Times New Roman"/>
        <family val="1"/>
      </rPr>
      <t>AS= Assembly; EA = Each; LB= Pound; LF=Linear Foot; PI= Per intersection; SF=Square Foot; SY=Square Yard</t>
    </r>
  </si>
  <si>
    <t>Exhibit C -</t>
  </si>
  <si>
    <t>Itemized Bid Form / Price Sheets</t>
  </si>
  <si>
    <t>ITB 23-001 - Infrastructure - Install 6&amp;12 in mains - Water/Sewer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</si>
</sst>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_);[Red]\(&quot;$&quot;#,##0.0\)"/>
  </numFmts>
  <fonts count="18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2"/>
    <xf numFmtId="0" fontId="2" fillId="0" borderId="0" xfId="2" applyAlignment="1">
      <alignment horizontal="center"/>
    </xf>
    <xf numFmtId="44" fontId="9" fillId="0" borderId="5" xfId="3" applyFont="1" applyBorder="1"/>
    <xf numFmtId="44" fontId="9" fillId="0" borderId="5" xfId="3" applyFont="1" applyFill="1" applyBorder="1"/>
    <xf numFmtId="6" fontId="9" fillId="0" borderId="5" xfId="3" applyNumberFormat="1" applyFont="1" applyFill="1" applyBorder="1"/>
    <xf numFmtId="0" fontId="10" fillId="0" borderId="0" xfId="2" applyFont="1"/>
    <xf numFmtId="0" fontId="10" fillId="0" borderId="0" xfId="2" applyFont="1" applyAlignment="1">
      <alignment wrapText="1"/>
    </xf>
    <xf numFmtId="0" fontId="10" fillId="3" borderId="0" xfId="2" applyFont="1" applyFill="1"/>
    <xf numFmtId="0" fontId="10" fillId="4" borderId="0" xfId="2" applyFont="1" applyFill="1"/>
    <xf numFmtId="0" fontId="10" fillId="0" borderId="5" xfId="2" applyFont="1" applyBorder="1" applyAlignment="1">
      <alignment horizontal="center"/>
    </xf>
    <xf numFmtId="164" fontId="10" fillId="0" borderId="0" xfId="2" applyNumberFormat="1" applyFont="1"/>
    <xf numFmtId="6" fontId="10" fillId="0" borderId="4" xfId="2" applyNumberFormat="1" applyFont="1" applyBorder="1"/>
    <xf numFmtId="164" fontId="10" fillId="0" borderId="3" xfId="2" applyNumberFormat="1" applyFont="1" applyBorder="1"/>
    <xf numFmtId="0" fontId="10" fillId="0" borderId="0" xfId="2" applyFont="1" applyAlignment="1">
      <alignment horizontal="center"/>
    </xf>
    <xf numFmtId="6" fontId="10" fillId="0" borderId="0" xfId="2" applyNumberFormat="1" applyFont="1"/>
    <xf numFmtId="0" fontId="10" fillId="0" borderId="9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/>
    <xf numFmtId="0" fontId="10" fillId="0" borderId="9" xfId="2" applyFont="1" applyBorder="1"/>
    <xf numFmtId="0" fontId="10" fillId="0" borderId="7" xfId="2" applyFont="1" applyBorder="1" applyAlignment="1">
      <alignment wrapText="1"/>
    </xf>
    <xf numFmtId="0" fontId="10" fillId="0" borderId="6" xfId="2" applyFont="1" applyBorder="1" applyAlignment="1">
      <alignment wrapText="1"/>
    </xf>
    <xf numFmtId="0" fontId="10" fillId="0" borderId="8" xfId="2" applyFont="1" applyBorder="1" applyAlignment="1">
      <alignment wrapText="1"/>
    </xf>
    <xf numFmtId="0" fontId="10" fillId="0" borderId="7" xfId="2" applyFont="1" applyBorder="1" applyAlignment="1">
      <alignment horizontal="center" wrapText="1"/>
    </xf>
    <xf numFmtId="0" fontId="10" fillId="0" borderId="6" xfId="2" applyFont="1" applyBorder="1" applyAlignment="1">
      <alignment horizontal="center" wrapText="1"/>
    </xf>
    <xf numFmtId="6" fontId="10" fillId="0" borderId="5" xfId="2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 wrapText="1"/>
      <protection locked="0"/>
    </xf>
    <xf numFmtId="3" fontId="5" fillId="2" borderId="2" xfId="0" applyNumberFormat="1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44" fontId="4" fillId="0" borderId="1" xfId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44" fontId="4" fillId="0" borderId="0" xfId="1" applyFont="1" applyFill="1" applyBorder="1" applyAlignment="1" applyProtection="1">
      <alignment horizontal="right" vertical="center"/>
      <protection locked="0"/>
    </xf>
    <xf numFmtId="44" fontId="4" fillId="0" borderId="0" xfId="1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44" fontId="4" fillId="0" borderId="10" xfId="1" applyFont="1" applyFill="1" applyBorder="1" applyAlignment="1" applyProtection="1">
      <alignment horizontal="center" vertical="center"/>
      <protection locked="0"/>
    </xf>
    <xf numFmtId="0" fontId="10" fillId="5" borderId="0" xfId="2" applyFont="1" applyFill="1"/>
    <xf numFmtId="44" fontId="4" fillId="0" borderId="2" xfId="1" applyFont="1" applyFill="1" applyBorder="1" applyAlignment="1" applyProtection="1">
      <alignment horizontal="center" vertical="center"/>
      <protection locked="0"/>
    </xf>
    <xf numFmtId="44" fontId="12" fillId="0" borderId="1" xfId="1" applyFont="1" applyFill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6" fontId="10" fillId="0" borderId="3" xfId="2" applyNumberFormat="1" applyFont="1" applyBorder="1"/>
    <xf numFmtId="0" fontId="10" fillId="0" borderId="15" xfId="2" applyFont="1" applyBorder="1" applyAlignment="1">
      <alignment horizontal="center"/>
    </xf>
    <xf numFmtId="0" fontId="10" fillId="0" borderId="16" xfId="2" applyFont="1" applyBorder="1" applyAlignment="1">
      <alignment wrapText="1"/>
    </xf>
    <xf numFmtId="0" fontId="10" fillId="0" borderId="16" xfId="2" applyFont="1" applyBorder="1"/>
    <xf numFmtId="44" fontId="9" fillId="0" borderId="15" xfId="3" applyFont="1" applyFill="1" applyBorder="1"/>
    <xf numFmtId="164" fontId="10" fillId="0" borderId="16" xfId="2" applyNumberFormat="1" applyFont="1" applyBorder="1"/>
    <xf numFmtId="6" fontId="10" fillId="0" borderId="17" xfId="2" applyNumberFormat="1" applyFont="1" applyBorder="1"/>
    <xf numFmtId="164" fontId="10" fillId="0" borderId="18" xfId="2" applyNumberFormat="1" applyFont="1" applyBorder="1"/>
    <xf numFmtId="0" fontId="5" fillId="0" borderId="0" xfId="0" applyFont="1" applyAlignment="1" applyProtection="1">
      <alignment horizontal="right"/>
      <protection locked="0"/>
    </xf>
    <xf numFmtId="44" fontId="11" fillId="0" borderId="11" xfId="0" applyNumberFormat="1" applyFont="1" applyBorder="1" applyAlignment="1" applyProtection="1">
      <alignment vertical="center"/>
      <protection locked="0"/>
    </xf>
    <xf numFmtId="0" fontId="15" fillId="0" borderId="20" xfId="0" applyFont="1" applyBorder="1" applyAlignment="1">
      <alignment horizontal="justify" vertical="center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17" fillId="0" borderId="20" xfId="0" applyFont="1" applyBorder="1" applyAlignment="1">
      <alignment horizontal="justify" vertical="center" wrapText="1"/>
    </xf>
    <xf numFmtId="0" fontId="16" fillId="0" borderId="21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6" fillId="0" borderId="0" xfId="0" applyFont="1" applyAlignment="1" applyProtection="1">
      <alignment horizontal="center"/>
      <protection locked="0"/>
    </xf>
    <xf numFmtId="0" fontId="11" fillId="0" borderId="12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11" fillId="0" borderId="14" xfId="0" applyFont="1" applyBorder="1" applyAlignment="1" applyProtection="1">
      <alignment vertical="center"/>
      <protection locked="0"/>
    </xf>
    <xf numFmtId="0" fontId="5" fillId="4" borderId="19" xfId="0" applyFont="1" applyFill="1" applyBorder="1" applyAlignment="1" applyProtection="1">
      <alignment horizontal="left" vertical="center" wrapText="1"/>
      <protection locked="0"/>
    </xf>
    <xf numFmtId="0" fontId="0" fillId="4" borderId="19" xfId="0" applyFill="1" applyBorder="1" applyAlignment="1">
      <alignment horizontal="left" vertical="center" wrapText="1"/>
    </xf>
  </cellXfs>
  <cellStyles count="4">
    <cellStyle name="Currency" xfId="1" builtinId="4"/>
    <cellStyle name="Currency 2" xfId="3" xr:uid="{7121802A-8C2C-478F-AFBA-6A8966E41534}"/>
    <cellStyle name="Normal" xfId="0" builtinId="0"/>
    <cellStyle name="Normal 2" xfId="2" xr:uid="{D0E1A10B-C363-423F-B7E6-456DBCA2B1B9}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37</xdr:row>
      <xdr:rowOff>0</xdr:rowOff>
    </xdr:from>
    <xdr:to>
      <xdr:col>0</xdr:col>
      <xdr:colOff>180975</xdr:colOff>
      <xdr:row>37</xdr:row>
      <xdr:rowOff>257175</xdr:rowOff>
    </xdr:to>
    <xdr:sp macro="" textlink="">
      <xdr:nvSpPr>
        <xdr:cNvPr id="4220" name="Text Box 19">
          <a:extLst>
            <a:ext uri="{FF2B5EF4-FFF2-40B4-BE49-F238E27FC236}">
              <a16:creationId xmlns:a16="http://schemas.microsoft.com/office/drawing/2014/main" id="{77A3870A-0759-4734-8385-6B3905E87F41}"/>
            </a:ext>
          </a:extLst>
        </xdr:cNvPr>
        <xdr:cNvSpPr txBox="1">
          <a:spLocks noChangeArrowheads="1"/>
        </xdr:cNvSpPr>
      </xdr:nvSpPr>
      <xdr:spPr bwMode="auto">
        <a:xfrm>
          <a:off x="647700" y="23050500"/>
          <a:ext cx="1143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</xdr:colOff>
      <xdr:row>37</xdr:row>
      <xdr:rowOff>0</xdr:rowOff>
    </xdr:from>
    <xdr:to>
      <xdr:col>0</xdr:col>
      <xdr:colOff>180975</xdr:colOff>
      <xdr:row>37</xdr:row>
      <xdr:rowOff>257175</xdr:rowOff>
    </xdr:to>
    <xdr:sp macro="" textlink="">
      <xdr:nvSpPr>
        <xdr:cNvPr id="4221" name="Text Box 19">
          <a:extLst>
            <a:ext uri="{FF2B5EF4-FFF2-40B4-BE49-F238E27FC236}">
              <a16:creationId xmlns:a16="http://schemas.microsoft.com/office/drawing/2014/main" id="{5086BD1A-647B-42EC-9C5F-A52FCE2B75AA}"/>
            </a:ext>
          </a:extLst>
        </xdr:cNvPr>
        <xdr:cNvSpPr txBox="1">
          <a:spLocks noChangeArrowheads="1"/>
        </xdr:cNvSpPr>
      </xdr:nvSpPr>
      <xdr:spPr bwMode="auto">
        <a:xfrm>
          <a:off x="647700" y="24879300"/>
          <a:ext cx="1143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8"/>
  <sheetViews>
    <sheetView showGridLines="0" tabSelected="1" zoomScale="75" zoomScaleNormal="75" zoomScalePageLayoutView="75" workbookViewId="0">
      <pane ySplit="6" topLeftCell="A7" activePane="bottomLeft" state="frozen"/>
      <selection pane="bottomLeft" activeCell="I10" sqref="I10"/>
    </sheetView>
  </sheetViews>
  <sheetFormatPr defaultRowHeight="36" customHeight="1" x14ac:dyDescent="0.2"/>
  <cols>
    <col min="1" max="1" width="8.7109375" style="47" customWidth="1"/>
    <col min="2" max="2" width="75.140625" style="32" bestFit="1" customWidth="1"/>
    <col min="3" max="3" width="8.7109375" style="47" customWidth="1"/>
    <col min="4" max="4" width="12.85546875" style="48" customWidth="1"/>
    <col min="5" max="5" width="20.7109375" style="47" customWidth="1"/>
    <col min="6" max="6" width="28.7109375" style="47" customWidth="1"/>
    <col min="7" max="14" width="8.7109375" style="32" customWidth="1"/>
    <col min="15" max="16384" width="9.140625" style="32"/>
  </cols>
  <sheetData>
    <row r="1" spans="1:6" ht="20.100000000000001" customHeight="1" x14ac:dyDescent="0.25">
      <c r="A1" s="72" t="s">
        <v>99</v>
      </c>
      <c r="B1" s="72"/>
      <c r="C1" s="72"/>
      <c r="D1" s="72"/>
      <c r="E1" s="72"/>
      <c r="F1" s="72"/>
    </row>
    <row r="2" spans="1:6" ht="21" customHeight="1" x14ac:dyDescent="0.25">
      <c r="A2" s="72" t="s">
        <v>101</v>
      </c>
      <c r="B2" s="72"/>
      <c r="C2" s="72"/>
      <c r="D2" s="72"/>
      <c r="E2" s="72"/>
      <c r="F2" s="72"/>
    </row>
    <row r="3" spans="1:6" ht="21" customHeight="1" x14ac:dyDescent="0.25">
      <c r="A3" s="72" t="s">
        <v>100</v>
      </c>
      <c r="B3" s="72"/>
      <c r="C3" s="72"/>
      <c r="D3" s="72"/>
      <c r="E3" s="72"/>
      <c r="F3" s="72"/>
    </row>
    <row r="4" spans="1:6" ht="24" customHeight="1" x14ac:dyDescent="0.25">
      <c r="A4" s="33"/>
      <c r="B4" s="34"/>
      <c r="C4" s="34"/>
      <c r="D4" s="34"/>
      <c r="E4" s="34"/>
      <c r="F4" s="34"/>
    </row>
    <row r="5" spans="1:6" ht="24" customHeight="1" x14ac:dyDescent="0.25">
      <c r="A5" s="33"/>
      <c r="B5" s="64" t="s">
        <v>94</v>
      </c>
      <c r="C5" s="76"/>
      <c r="D5" s="77"/>
      <c r="E5" s="77"/>
      <c r="F5" s="77"/>
    </row>
    <row r="6" spans="1:6" ht="36" customHeight="1" x14ac:dyDescent="0.25">
      <c r="A6" s="27" t="s">
        <v>0</v>
      </c>
      <c r="B6" s="27" t="s">
        <v>1</v>
      </c>
      <c r="C6" s="27" t="s">
        <v>2</v>
      </c>
      <c r="D6" s="28" t="s">
        <v>3</v>
      </c>
      <c r="E6" s="27" t="s">
        <v>4</v>
      </c>
      <c r="F6" s="27" t="s">
        <v>5</v>
      </c>
    </row>
    <row r="7" spans="1:6" ht="36" customHeight="1" x14ac:dyDescent="0.2">
      <c r="A7" s="29">
        <f>'Mike''s Update'!A2</f>
        <v>1</v>
      </c>
      <c r="B7" s="30" t="str">
        <f>'Mike''s Update'!B2</f>
        <v>Mobilization/ Demobilization</v>
      </c>
      <c r="C7" s="29" t="str">
        <f>'Mike''s Update'!C2</f>
        <v>LS</v>
      </c>
      <c r="D7" s="29">
        <f>'Mike''s Update'!D2</f>
        <v>1</v>
      </c>
      <c r="E7" s="31"/>
      <c r="F7" s="54">
        <f>SUM(E7*D7)</f>
        <v>0</v>
      </c>
    </row>
    <row r="8" spans="1:6" ht="36" customHeight="1" x14ac:dyDescent="0.2">
      <c r="A8" s="29">
        <f>'Mike''s Update'!A3</f>
        <v>2</v>
      </c>
      <c r="B8" s="30" t="str">
        <f>'Mike''s Update'!B3</f>
        <v>Closeout Documentation (including record drawings)</v>
      </c>
      <c r="C8" s="29" t="str">
        <f>'Mike''s Update'!C3</f>
        <v>LS</v>
      </c>
      <c r="D8" s="29">
        <f>'Mike''s Update'!D3</f>
        <v>1</v>
      </c>
      <c r="E8" s="31"/>
      <c r="F8" s="54">
        <f t="shared" ref="F8:F37" si="0">SUM(E8*D8)</f>
        <v>0</v>
      </c>
    </row>
    <row r="9" spans="1:6" ht="36" customHeight="1" x14ac:dyDescent="0.2">
      <c r="A9" s="29">
        <f>'Mike''s Update'!A4</f>
        <v>3</v>
      </c>
      <c r="B9" s="30" t="str">
        <f>'Mike''s Update'!B4</f>
        <v>Performance and Payment Bonds</v>
      </c>
      <c r="C9" s="29" t="str">
        <f>'Mike''s Update'!C4</f>
        <v>LS</v>
      </c>
      <c r="D9" s="29">
        <f>'Mike''s Update'!D4</f>
        <v>1</v>
      </c>
      <c r="E9" s="31"/>
      <c r="F9" s="54">
        <f t="shared" si="0"/>
        <v>0</v>
      </c>
    </row>
    <row r="10" spans="1:6" ht="36" customHeight="1" x14ac:dyDescent="0.2">
      <c r="A10" s="29">
        <f>'Mike''s Update'!A5</f>
        <v>4</v>
      </c>
      <c r="B10" s="30" t="str">
        <f>'Mike''s Update'!B5</f>
        <v>Prevention, Control and Abatement of Erosion and Water Pollution</v>
      </c>
      <c r="C10" s="29" t="str">
        <f>'Mike''s Update'!C5</f>
        <v>LS</v>
      </c>
      <c r="D10" s="29">
        <f>'Mike''s Update'!D5</f>
        <v>1</v>
      </c>
      <c r="E10" s="31"/>
      <c r="F10" s="54">
        <f t="shared" si="0"/>
        <v>0</v>
      </c>
    </row>
    <row r="11" spans="1:6" ht="36" customHeight="1" x14ac:dyDescent="0.2">
      <c r="A11" s="29">
        <f>'Mike''s Update'!A6</f>
        <v>5</v>
      </c>
      <c r="B11" s="30" t="str">
        <f>'Mike''s Update'!B6</f>
        <v>Maintenance of Traffic</v>
      </c>
      <c r="C11" s="29" t="str">
        <f>'Mike''s Update'!C6</f>
        <v>LS</v>
      </c>
      <c r="D11" s="29">
        <f>'Mike''s Update'!D6</f>
        <v>1</v>
      </c>
      <c r="E11" s="31"/>
      <c r="F11" s="54">
        <f t="shared" si="0"/>
        <v>0</v>
      </c>
    </row>
    <row r="12" spans="1:6" ht="36" customHeight="1" x14ac:dyDescent="0.2">
      <c r="A12" s="29">
        <f>'Mike''s Update'!A7</f>
        <v>6</v>
      </c>
      <c r="B12" s="30" t="str">
        <f>'Mike''s Update'!B7</f>
        <v>Manhole Rehabilitation and Lining</v>
      </c>
      <c r="C12" s="29" t="str">
        <f>'Mike''s Update'!C7</f>
        <v>LS</v>
      </c>
      <c r="D12" s="29">
        <f>'Mike''s Update'!D7</f>
        <v>1</v>
      </c>
      <c r="E12" s="31"/>
      <c r="F12" s="54">
        <f t="shared" si="0"/>
        <v>0</v>
      </c>
    </row>
    <row r="13" spans="1:6" ht="36" customHeight="1" x14ac:dyDescent="0.2">
      <c r="A13" s="29">
        <f>'Mike''s Update'!A8</f>
        <v>7</v>
      </c>
      <c r="B13" s="30" t="str">
        <f>'Mike''s Update'!B8</f>
        <v>6-inch DR18 PVC Force Main (Open Trench Installation)</v>
      </c>
      <c r="C13" s="29" t="str">
        <f>'Mike''s Update'!C8</f>
        <v>LF</v>
      </c>
      <c r="D13" s="29">
        <f>'Mike''s Update'!D8</f>
        <v>1900</v>
      </c>
      <c r="E13" s="31"/>
      <c r="F13" s="54">
        <f t="shared" si="0"/>
        <v>0</v>
      </c>
    </row>
    <row r="14" spans="1:6" ht="36" customHeight="1" x14ac:dyDescent="0.2">
      <c r="A14" s="29">
        <f>'Mike''s Update'!A9</f>
        <v>8</v>
      </c>
      <c r="B14" s="30" t="str">
        <f>'Mike''s Update'!B9</f>
        <v>6-inch DR18 FPVC Force Main (Trenchless Installation)</v>
      </c>
      <c r="C14" s="29" t="str">
        <f>'Mike''s Update'!C9</f>
        <v>LF</v>
      </c>
      <c r="D14" s="29">
        <f>'Mike''s Update'!D9</f>
        <v>800</v>
      </c>
      <c r="E14" s="31"/>
      <c r="F14" s="54">
        <f t="shared" si="0"/>
        <v>0</v>
      </c>
    </row>
    <row r="15" spans="1:6" ht="36" customHeight="1" x14ac:dyDescent="0.2">
      <c r="A15" s="29">
        <f>'Mike''s Update'!A10</f>
        <v>9</v>
      </c>
      <c r="B15" s="30" t="str">
        <f>'Mike''s Update'!B10</f>
        <v>12-inch DR18 PVC Water Main (Open Trench Installation)</v>
      </c>
      <c r="C15" s="29" t="str">
        <f>'Mike''s Update'!C10</f>
        <v>LF</v>
      </c>
      <c r="D15" s="29">
        <f>'Mike''s Update'!D10</f>
        <v>1100</v>
      </c>
      <c r="E15" s="31"/>
      <c r="F15" s="54">
        <f t="shared" si="0"/>
        <v>0</v>
      </c>
    </row>
    <row r="16" spans="1:6" ht="36" customHeight="1" x14ac:dyDescent="0.2">
      <c r="A16" s="29">
        <f>'Mike''s Update'!A11</f>
        <v>10</v>
      </c>
      <c r="B16" s="30" t="str">
        <f>'Mike''s Update'!B11</f>
        <v>12-inch DR18 FPVC Water Main (Trenchless Installation)</v>
      </c>
      <c r="C16" s="29" t="str">
        <f>'Mike''s Update'!C11</f>
        <v>LF</v>
      </c>
      <c r="D16" s="29">
        <f>'Mike''s Update'!D11</f>
        <v>600</v>
      </c>
      <c r="E16" s="31"/>
      <c r="F16" s="54">
        <f t="shared" si="0"/>
        <v>0</v>
      </c>
    </row>
    <row r="17" spans="1:8" ht="36" customHeight="1" x14ac:dyDescent="0.2">
      <c r="A17" s="29">
        <f>'Mike''s Update'!A12</f>
        <v>11</v>
      </c>
      <c r="B17" s="30" t="str">
        <f>'Mike''s Update'!B12</f>
        <v>12-inch by 12-inch Stainless Steel Tapping Sleeve and Gate Valve</v>
      </c>
      <c r="C17" s="29" t="str">
        <f>'Mike''s Update'!C12</f>
        <v>LS</v>
      </c>
      <c r="D17" s="29">
        <f>'Mike''s Update'!D12</f>
        <v>1</v>
      </c>
      <c r="E17" s="31"/>
      <c r="F17" s="54">
        <f t="shared" si="0"/>
        <v>0</v>
      </c>
    </row>
    <row r="18" spans="1:8" ht="36" customHeight="1" x14ac:dyDescent="0.2">
      <c r="A18" s="29">
        <f>'Mike''s Update'!A13</f>
        <v>12</v>
      </c>
      <c r="B18" s="30" t="str">
        <f>'Mike''s Update'!B13</f>
        <v>6-inch Resilient-seated Gate Valve and Box</v>
      </c>
      <c r="C18" s="29" t="str">
        <f>'Mike''s Update'!C13</f>
        <v>EA</v>
      </c>
      <c r="D18" s="29">
        <f>'Mike''s Update'!D13</f>
        <v>7</v>
      </c>
      <c r="E18" s="31"/>
      <c r="F18" s="54">
        <f t="shared" si="0"/>
        <v>0</v>
      </c>
    </row>
    <row r="19" spans="1:8" ht="36" customHeight="1" x14ac:dyDescent="0.2">
      <c r="A19" s="29">
        <f>'Mike''s Update'!A14</f>
        <v>13</v>
      </c>
      <c r="B19" s="30" t="str">
        <f>'Mike''s Update'!B14</f>
        <v>12-inch Resilient-seated Gate Valve and Box</v>
      </c>
      <c r="C19" s="29" t="str">
        <f>'Mike''s Update'!C14</f>
        <v>EA</v>
      </c>
      <c r="D19" s="29">
        <f>'Mike''s Update'!D14</f>
        <v>3</v>
      </c>
      <c r="E19" s="31"/>
      <c r="F19" s="54">
        <f t="shared" si="0"/>
        <v>0</v>
      </c>
    </row>
    <row r="20" spans="1:8" ht="36" customHeight="1" x14ac:dyDescent="0.2">
      <c r="A20" s="29">
        <f>'Mike''s Update'!A15</f>
        <v>14</v>
      </c>
      <c r="B20" s="30" t="str">
        <f>'Mike''s Update'!B15</f>
        <v>8-inch DR18 PVC Water Main (Open Trench Installation)</v>
      </c>
      <c r="C20" s="29" t="str">
        <f>'Mike''s Update'!C15</f>
        <v>LF</v>
      </c>
      <c r="D20" s="29">
        <f>'Mike''s Update'!D15</f>
        <v>20</v>
      </c>
      <c r="E20" s="31"/>
      <c r="F20" s="54">
        <f t="shared" si="0"/>
        <v>0</v>
      </c>
    </row>
    <row r="21" spans="1:8" ht="36" customHeight="1" x14ac:dyDescent="0.2">
      <c r="A21" s="29">
        <f>'Mike''s Update'!A16</f>
        <v>15</v>
      </c>
      <c r="B21" s="30" t="str">
        <f>'Mike''s Update'!B16</f>
        <v>8-inch Resilient-seated Gate Valve and Box</v>
      </c>
      <c r="C21" s="29" t="str">
        <f>'Mike''s Update'!C16</f>
        <v>EA</v>
      </c>
      <c r="D21" s="29">
        <f>'Mike''s Update'!D16</f>
        <v>1</v>
      </c>
      <c r="E21" s="31"/>
      <c r="F21" s="54">
        <f t="shared" si="0"/>
        <v>0</v>
      </c>
    </row>
    <row r="22" spans="1:8" ht="36" customHeight="1" x14ac:dyDescent="0.2">
      <c r="A22" s="29">
        <f>'Mike''s Update'!A17</f>
        <v>16</v>
      </c>
      <c r="B22" s="30" t="str">
        <f>'Mike''s Update'!B17</f>
        <v>Ductile Iron Fittings (without joint accessories)</v>
      </c>
      <c r="C22" s="29" t="str">
        <f>'Mike''s Update'!C17</f>
        <v>Lb</v>
      </c>
      <c r="D22" s="29">
        <f>'Mike''s Update'!D17</f>
        <v>5000</v>
      </c>
      <c r="E22" s="31"/>
      <c r="F22" s="54">
        <f t="shared" si="0"/>
        <v>0</v>
      </c>
    </row>
    <row r="23" spans="1:8" ht="36" customHeight="1" x14ac:dyDescent="0.2">
      <c r="A23" s="29">
        <f>'Mike''s Update'!A18</f>
        <v>17</v>
      </c>
      <c r="B23" s="30" t="str">
        <f>'Mike''s Update'!B18</f>
        <v>Ductile Iron Retainer Glands &amp; Joint Accessories (Mechanical Joints)</v>
      </c>
      <c r="C23" s="29" t="str">
        <f>'Mike''s Update'!C18</f>
        <v>Lb</v>
      </c>
      <c r="D23" s="29">
        <f>'Mike''s Update'!D18</f>
        <v>3200</v>
      </c>
      <c r="E23" s="31"/>
      <c r="F23" s="54">
        <f t="shared" si="0"/>
        <v>0</v>
      </c>
    </row>
    <row r="24" spans="1:8" ht="36" customHeight="1" x14ac:dyDescent="0.2">
      <c r="A24" s="29">
        <f>'Mike''s Update'!A19</f>
        <v>18</v>
      </c>
      <c r="B24" s="30" t="str">
        <f>'Mike''s Update'!B19</f>
        <v>Ductile Iron Split Restraint Harnesses (Push-on Joint PVC)</v>
      </c>
      <c r="C24" s="29" t="str">
        <f>'Mike''s Update'!C19</f>
        <v>LS</v>
      </c>
      <c r="D24" s="29">
        <v>1</v>
      </c>
      <c r="E24" s="31"/>
      <c r="F24" s="54">
        <f t="shared" si="0"/>
        <v>0</v>
      </c>
    </row>
    <row r="25" spans="1:8" ht="36" customHeight="1" x14ac:dyDescent="0.2">
      <c r="A25" s="29">
        <f>'Mike''s Update'!A20</f>
        <v>19</v>
      </c>
      <c r="B25" s="30" t="str">
        <f>'Mike''s Update'!B20</f>
        <v>Pipe Bedding (#57 crushed gravel, 6-in thick)</v>
      </c>
      <c r="C25" s="29" t="str">
        <f>'Mike''s Update'!C20</f>
        <v>LF</v>
      </c>
      <c r="D25" s="29">
        <f>'Mike''s Update'!D20</f>
        <v>3020</v>
      </c>
      <c r="E25" s="31"/>
      <c r="F25" s="54">
        <f t="shared" si="0"/>
        <v>0</v>
      </c>
    </row>
    <row r="26" spans="1:8" ht="36" customHeight="1" x14ac:dyDescent="0.2">
      <c r="A26" s="29">
        <f>'Mike''s Update'!A21</f>
        <v>20</v>
      </c>
      <c r="B26" s="30" t="str">
        <f>'Mike''s Update'!B21</f>
        <v>Remove and Replace Existing Chain Link Fence</v>
      </c>
      <c r="C26" s="29" t="str">
        <f>'Mike''s Update'!C21</f>
        <v>LS</v>
      </c>
      <c r="D26" s="29">
        <f>'Mike''s Update'!D21</f>
        <v>1</v>
      </c>
      <c r="E26" s="31"/>
      <c r="F26" s="54">
        <f t="shared" si="0"/>
        <v>0</v>
      </c>
    </row>
    <row r="27" spans="1:8" ht="36" customHeight="1" x14ac:dyDescent="0.2">
      <c r="A27" s="29">
        <f>'Mike''s Update'!A22</f>
        <v>21</v>
      </c>
      <c r="B27" s="30" t="str">
        <f>'Mike''s Update'!B22</f>
        <v>2-inch Air and Vacuum Valve Assembly (Type I)</v>
      </c>
      <c r="C27" s="29" t="str">
        <f>'Mike''s Update'!C22</f>
        <v>EA</v>
      </c>
      <c r="D27" s="29">
        <f>'Mike''s Update'!D22</f>
        <v>1</v>
      </c>
      <c r="E27" s="31"/>
      <c r="F27" s="54">
        <f t="shared" si="0"/>
        <v>0</v>
      </c>
      <c r="H27" s="35"/>
    </row>
    <row r="28" spans="1:8" s="36" customFormat="1" ht="36" customHeight="1" x14ac:dyDescent="0.2">
      <c r="A28" s="29">
        <f>'Mike''s Update'!A23</f>
        <v>22</v>
      </c>
      <c r="B28" s="30" t="str">
        <f>'Mike''s Update'!B23</f>
        <v>2-inch Air and Vacuum Valve Assembly (Type II)</v>
      </c>
      <c r="C28" s="29" t="str">
        <f>'Mike''s Update'!C23</f>
        <v>EA</v>
      </c>
      <c r="D28" s="29">
        <f>'Mike''s Update'!D23</f>
        <v>4</v>
      </c>
      <c r="E28" s="31"/>
      <c r="F28" s="54">
        <f t="shared" si="0"/>
        <v>0</v>
      </c>
    </row>
    <row r="29" spans="1:8" s="36" customFormat="1" ht="36" customHeight="1" x14ac:dyDescent="0.2">
      <c r="A29" s="29">
        <f>'Mike''s Update'!A24</f>
        <v>23</v>
      </c>
      <c r="B29" s="30" t="str">
        <f>'Mike''s Update'!B24</f>
        <v>Inline Sample Tap</v>
      </c>
      <c r="C29" s="29" t="str">
        <f>'Mike''s Update'!C24</f>
        <v>EA</v>
      </c>
      <c r="D29" s="29">
        <f>'Mike''s Update'!D24</f>
        <v>2</v>
      </c>
      <c r="E29" s="31"/>
      <c r="F29" s="54">
        <f t="shared" si="0"/>
        <v>0</v>
      </c>
    </row>
    <row r="30" spans="1:8" s="36" customFormat="1" ht="36" customHeight="1" x14ac:dyDescent="0.2">
      <c r="A30" s="29">
        <f>'Mike''s Update'!A25</f>
        <v>24</v>
      </c>
      <c r="B30" s="30" t="str">
        <f>'Mike''s Update'!B25</f>
        <v>Miscellaneous golf course irrigation line repair (≤ 2-inch dia.)</v>
      </c>
      <c r="C30" s="29" t="str">
        <f>'Mike''s Update'!C25</f>
        <v>LS</v>
      </c>
      <c r="D30" s="29">
        <f>'Mike''s Update'!D25</f>
        <v>1</v>
      </c>
      <c r="E30" s="31"/>
      <c r="F30" s="54">
        <f t="shared" si="0"/>
        <v>0</v>
      </c>
    </row>
    <row r="31" spans="1:8" s="36" customFormat="1" ht="36" customHeight="1" x14ac:dyDescent="0.2">
      <c r="A31" s="29">
        <f>'Mike''s Update'!A26</f>
        <v>25</v>
      </c>
      <c r="B31" s="30" t="str">
        <f>'Mike''s Update'!B26</f>
        <v>Concrete Walk Removal and Restoration (6-inch thick)</v>
      </c>
      <c r="C31" s="29" t="str">
        <f>'Mike''s Update'!C26</f>
        <v>SF</v>
      </c>
      <c r="D31" s="29">
        <f>'Mike''s Update'!D26</f>
        <v>720</v>
      </c>
      <c r="E31" s="31"/>
      <c r="F31" s="54">
        <f t="shared" si="0"/>
        <v>0</v>
      </c>
    </row>
    <row r="32" spans="1:8" s="36" customFormat="1" ht="36" customHeight="1" x14ac:dyDescent="0.2">
      <c r="A32" s="29">
        <f>'Mike''s Update'!A27</f>
        <v>26</v>
      </c>
      <c r="B32" s="30" t="str">
        <f>'Mike''s Update'!B27</f>
        <v>Asphalt Pavement Restoration</v>
      </c>
      <c r="C32" s="29" t="str">
        <f>'Mike''s Update'!C27</f>
        <v>SY</v>
      </c>
      <c r="D32" s="29">
        <f>'Mike''s Update'!D27</f>
        <v>120</v>
      </c>
      <c r="E32" s="31"/>
      <c r="F32" s="54">
        <f t="shared" si="0"/>
        <v>0</v>
      </c>
    </row>
    <row r="33" spans="1:20" s="36" customFormat="1" ht="36" customHeight="1" x14ac:dyDescent="0.2">
      <c r="A33" s="29">
        <f>'Mike''s Update'!A28</f>
        <v>27</v>
      </c>
      <c r="B33" s="30" t="str">
        <f>'Mike''s Update'!B28</f>
        <v>Sod</v>
      </c>
      <c r="C33" s="29" t="str">
        <f>'Mike''s Update'!C28</f>
        <v>SY</v>
      </c>
      <c r="D33" s="29">
        <f>'Mike''s Update'!D28</f>
        <v>2000</v>
      </c>
      <c r="E33" s="31"/>
      <c r="F33" s="54">
        <f t="shared" si="0"/>
        <v>0</v>
      </c>
    </row>
    <row r="34" spans="1:20" s="36" customFormat="1" ht="36" customHeight="1" x14ac:dyDescent="0.2">
      <c r="A34" s="29">
        <f>'Mike''s Update'!A29</f>
        <v>28</v>
      </c>
      <c r="B34" s="30" t="str">
        <f>'Mike''s Update'!B29</f>
        <v>Remove, protect and reset Golf Course Marker</v>
      </c>
      <c r="C34" s="29" t="str">
        <f>'Mike''s Update'!C29</f>
        <v>LS</v>
      </c>
      <c r="D34" s="29">
        <f>'Mike''s Update'!D29</f>
        <v>1</v>
      </c>
      <c r="E34" s="31"/>
      <c r="F34" s="54">
        <f t="shared" si="0"/>
        <v>0</v>
      </c>
    </row>
    <row r="35" spans="1:20" s="36" customFormat="1" ht="36" customHeight="1" x14ac:dyDescent="0.2">
      <c r="A35" s="29">
        <f>'Mike''s Update'!A30</f>
        <v>29</v>
      </c>
      <c r="B35" s="30" t="str">
        <f>'Mike''s Update'!B30</f>
        <v>Putting Green and Sand Trap Protection and Restoration</v>
      </c>
      <c r="C35" s="29" t="str">
        <f>'Mike''s Update'!C30</f>
        <v>LS</v>
      </c>
      <c r="D35" s="29">
        <f>'Mike''s Update'!D30</f>
        <v>1</v>
      </c>
      <c r="E35" s="31"/>
      <c r="F35" s="54">
        <f t="shared" si="0"/>
        <v>0</v>
      </c>
    </row>
    <row r="36" spans="1:20" s="36" customFormat="1" ht="36" customHeight="1" x14ac:dyDescent="0.2">
      <c r="A36" s="29">
        <f>'Mike''s Update'!A31</f>
        <v>30</v>
      </c>
      <c r="B36" s="30" t="str">
        <f>'Mike''s Update'!B31</f>
        <v>Miscellaneous Tree Trimming and Removal</v>
      </c>
      <c r="C36" s="29" t="str">
        <f>'Mike''s Update'!C31</f>
        <v>LS</v>
      </c>
      <c r="D36" s="29">
        <f>'Mike''s Update'!D31</f>
        <v>1</v>
      </c>
      <c r="E36" s="53"/>
      <c r="F36" s="54">
        <f t="shared" si="0"/>
        <v>0</v>
      </c>
    </row>
    <row r="37" spans="1:20" s="36" customFormat="1" ht="36" customHeight="1" thickBot="1" x14ac:dyDescent="0.25">
      <c r="A37" s="49">
        <f>'Mike''s Update'!A32</f>
        <v>31</v>
      </c>
      <c r="B37" s="50" t="str">
        <f>'Mike''s Update'!B32</f>
        <v>Certified Arborist Consultant</v>
      </c>
      <c r="C37" s="49" t="str">
        <f>'Mike''s Update'!C32</f>
        <v>LS</v>
      </c>
      <c r="D37" s="49">
        <f>'Mike''s Update'!D32</f>
        <v>1</v>
      </c>
      <c r="E37" s="51"/>
      <c r="F37" s="54">
        <f t="shared" si="0"/>
        <v>0</v>
      </c>
    </row>
    <row r="38" spans="1:20" ht="57" customHeight="1" x14ac:dyDescent="0.2">
      <c r="A38" s="73" t="s">
        <v>93</v>
      </c>
      <c r="B38" s="74"/>
      <c r="C38" s="74"/>
      <c r="D38" s="74"/>
      <c r="E38" s="75"/>
      <c r="F38" s="65">
        <f>SUM(F7:F37)</f>
        <v>0</v>
      </c>
    </row>
    <row r="39" spans="1:20" ht="36" customHeight="1" x14ac:dyDescent="0.25">
      <c r="A39" s="37"/>
      <c r="B39" s="38"/>
      <c r="C39" s="39"/>
      <c r="D39" s="39"/>
      <c r="E39" s="39"/>
      <c r="F39" s="40"/>
      <c r="K39" s="41"/>
      <c r="L39" s="41"/>
      <c r="M39" s="41"/>
      <c r="N39" s="41"/>
      <c r="O39" s="41"/>
      <c r="P39" s="41"/>
      <c r="Q39" s="41"/>
      <c r="R39" s="41"/>
      <c r="S39" s="41"/>
      <c r="T39" s="41"/>
    </row>
    <row r="40" spans="1:20" ht="36" customHeight="1" x14ac:dyDescent="0.25">
      <c r="A40" s="37"/>
      <c r="B40" s="38"/>
      <c r="C40" s="39"/>
      <c r="D40" s="39"/>
      <c r="E40" s="39"/>
      <c r="F40" s="40"/>
      <c r="K40" s="41"/>
      <c r="L40" s="41"/>
      <c r="M40" s="41"/>
      <c r="N40" s="41"/>
      <c r="O40" s="41"/>
      <c r="P40" s="41"/>
      <c r="Q40" s="41"/>
      <c r="R40" s="41"/>
      <c r="S40" s="41"/>
      <c r="T40" s="41"/>
    </row>
    <row r="41" spans="1:20" ht="36" customHeight="1" x14ac:dyDescent="0.2">
      <c r="A41" s="37"/>
      <c r="B41" s="42" t="s">
        <v>77</v>
      </c>
      <c r="C41" s="43"/>
      <c r="D41" s="43"/>
      <c r="E41" s="39"/>
      <c r="F41" s="40"/>
    </row>
    <row r="42" spans="1:20" ht="36" customHeight="1" x14ac:dyDescent="0.25">
      <c r="A42" s="27" t="s">
        <v>0</v>
      </c>
      <c r="B42" s="27" t="s">
        <v>1</v>
      </c>
      <c r="C42" s="27" t="s">
        <v>2</v>
      </c>
      <c r="D42" s="28" t="s">
        <v>3</v>
      </c>
      <c r="E42" s="27" t="s">
        <v>4</v>
      </c>
      <c r="F42" s="27" t="s">
        <v>5</v>
      </c>
    </row>
    <row r="43" spans="1:20" ht="36" customHeight="1" x14ac:dyDescent="0.2">
      <c r="A43" s="29" t="s">
        <v>15</v>
      </c>
      <c r="B43" s="44" t="s">
        <v>14</v>
      </c>
      <c r="C43" s="29" t="s">
        <v>8</v>
      </c>
      <c r="D43" s="45">
        <f>'Mike''s Update'!D36</f>
        <v>800</v>
      </c>
      <c r="E43" s="46"/>
      <c r="F43" s="55" t="s">
        <v>45</v>
      </c>
    </row>
    <row r="44" spans="1:20" ht="36" customHeight="1" x14ac:dyDescent="0.2">
      <c r="A44" s="29" t="s">
        <v>13</v>
      </c>
      <c r="B44" s="30" t="s">
        <v>12</v>
      </c>
      <c r="C44" s="29" t="s">
        <v>9</v>
      </c>
      <c r="D44" s="45">
        <f>'Mike''s Update'!D37</f>
        <v>6</v>
      </c>
      <c r="E44" s="26"/>
      <c r="F44" s="55" t="s">
        <v>45</v>
      </c>
    </row>
    <row r="45" spans="1:20" ht="36" customHeight="1" x14ac:dyDescent="0.2">
      <c r="A45" s="66" t="s">
        <v>95</v>
      </c>
      <c r="B45" s="67"/>
      <c r="C45" s="67"/>
      <c r="D45" s="67"/>
      <c r="E45" s="67"/>
      <c r="F45" s="68"/>
    </row>
    <row r="46" spans="1:20" ht="36" customHeight="1" x14ac:dyDescent="0.2">
      <c r="A46" s="66" t="s">
        <v>98</v>
      </c>
      <c r="B46" s="67"/>
      <c r="C46" s="67"/>
      <c r="D46" s="67"/>
      <c r="E46" s="67"/>
      <c r="F46" s="68"/>
    </row>
    <row r="47" spans="1:20" ht="36" customHeight="1" x14ac:dyDescent="0.2">
      <c r="A47" s="66" t="s">
        <v>97</v>
      </c>
      <c r="B47" s="67"/>
      <c r="C47" s="67"/>
      <c r="D47" s="67"/>
      <c r="E47" s="67"/>
      <c r="F47" s="68"/>
    </row>
    <row r="48" spans="1:20" ht="36" customHeight="1" x14ac:dyDescent="0.2">
      <c r="A48" s="69" t="s">
        <v>96</v>
      </c>
      <c r="B48" s="70"/>
      <c r="C48" s="70"/>
      <c r="D48" s="70"/>
      <c r="E48" s="70"/>
      <c r="F48" s="71"/>
    </row>
  </sheetData>
  <sheetProtection selectLockedCells="1" selectUnlockedCells="1"/>
  <mergeCells count="9">
    <mergeCell ref="A45:F45"/>
    <mergeCell ref="A46:F46"/>
    <mergeCell ref="A47:F47"/>
    <mergeCell ref="A48:F48"/>
    <mergeCell ref="A1:F1"/>
    <mergeCell ref="A2:F2"/>
    <mergeCell ref="A3:F3"/>
    <mergeCell ref="A38:E38"/>
    <mergeCell ref="C5:F5"/>
  </mergeCells>
  <printOptions horizontalCentered="1"/>
  <pageMargins left="0.75" right="0.75" top="0.5" bottom="0.5" header="0.25" footer="0.25"/>
  <pageSetup scale="58" fitToHeight="0" orientation="portrait" r:id="rId1"/>
  <headerFooter scaleWithDoc="0" alignWithMargins="0">
    <oddFooter>&amp;C&amp;11C-410B&amp;R&amp;11&amp;P of &amp;N</oddFooter>
    <evenFooter>&amp;C00300</evenFooter>
  </headerFooter>
  <rowBreaks count="1" manualBreakCount="1">
    <brk id="3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E0954-E101-4679-B1B0-4E4293EC0130}">
  <sheetPr>
    <pageSetUpPr fitToPage="1"/>
  </sheetPr>
  <dimension ref="A1:X39"/>
  <sheetViews>
    <sheetView zoomScale="110" zoomScaleNormal="11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I2" sqref="I2"/>
    </sheetView>
  </sheetViews>
  <sheetFormatPr defaultRowHeight="14.25" outlineLevelCol="1" x14ac:dyDescent="0.2"/>
  <cols>
    <col min="1" max="1" width="8.85546875" style="6" customWidth="1"/>
    <col min="2" max="2" width="69" style="6" customWidth="1"/>
    <col min="3" max="3" width="4.42578125" style="6" bestFit="1" customWidth="1"/>
    <col min="4" max="4" width="9.28515625" style="6" bestFit="1" customWidth="1"/>
    <col min="5" max="5" width="12.85546875" style="6" bestFit="1" customWidth="1"/>
    <col min="6" max="8" width="11.5703125" style="6" hidden="1" customWidth="1" outlineLevel="1"/>
    <col min="9" max="9" width="10.5703125" style="6" bestFit="1" customWidth="1" collapsed="1"/>
    <col min="10" max="12" width="12.28515625" style="6" bestFit="1" customWidth="1"/>
    <col min="13" max="13" width="9.140625" style="6"/>
    <col min="14" max="21" width="8.85546875" style="6" customWidth="1"/>
    <col min="22" max="23" width="9.140625" style="6"/>
    <col min="24" max="24" width="24.7109375" style="6" bestFit="1" customWidth="1"/>
    <col min="25" max="16384" width="9.140625" style="6"/>
  </cols>
  <sheetData>
    <row r="1" spans="1:24" ht="43.5" thickBot="1" x14ac:dyDescent="0.25">
      <c r="A1" s="16" t="s">
        <v>43</v>
      </c>
      <c r="B1" s="17" t="s">
        <v>42</v>
      </c>
      <c r="C1" s="18" t="s">
        <v>41</v>
      </c>
      <c r="D1" s="19" t="s">
        <v>3</v>
      </c>
      <c r="E1" s="19" t="s">
        <v>40</v>
      </c>
      <c r="F1" s="20" t="s">
        <v>39</v>
      </c>
      <c r="G1" s="20" t="s">
        <v>38</v>
      </c>
      <c r="H1" s="21" t="s">
        <v>37</v>
      </c>
      <c r="I1" s="22" t="s">
        <v>36</v>
      </c>
      <c r="J1" s="23" t="s">
        <v>74</v>
      </c>
      <c r="K1" s="23" t="s">
        <v>75</v>
      </c>
      <c r="L1" s="24" t="s">
        <v>76</v>
      </c>
      <c r="N1" s="7" t="s">
        <v>35</v>
      </c>
      <c r="O1" s="7" t="s">
        <v>34</v>
      </c>
      <c r="P1" s="7" t="s">
        <v>33</v>
      </c>
      <c r="Q1" s="7" t="s">
        <v>32</v>
      </c>
      <c r="R1" s="7" t="s">
        <v>31</v>
      </c>
      <c r="S1" s="7" t="s">
        <v>30</v>
      </c>
      <c r="T1" s="7" t="s">
        <v>11</v>
      </c>
    </row>
    <row r="2" spans="1:24" x14ac:dyDescent="0.2">
      <c r="A2" s="10">
        <v>1</v>
      </c>
      <c r="B2" s="7" t="s">
        <v>86</v>
      </c>
      <c r="C2" s="10" t="s">
        <v>6</v>
      </c>
      <c r="D2" s="6">
        <v>1</v>
      </c>
      <c r="E2" s="25">
        <f>0.02*SUM(I4:I32)</f>
        <v>17634</v>
      </c>
      <c r="F2" s="11"/>
      <c r="G2" s="11"/>
      <c r="H2" s="11"/>
      <c r="I2" s="12">
        <f>D2*E2</f>
        <v>17634</v>
      </c>
      <c r="J2" s="11">
        <f>I2*1.25</f>
        <v>22042.5</v>
      </c>
      <c r="K2" s="11">
        <f>I2*1.3</f>
        <v>22924.2</v>
      </c>
      <c r="L2" s="13">
        <f>I2*1.4</f>
        <v>24687.599999999999</v>
      </c>
      <c r="W2" s="8"/>
      <c r="X2" s="6" t="s">
        <v>29</v>
      </c>
    </row>
    <row r="3" spans="1:24" x14ac:dyDescent="0.2">
      <c r="A3" s="10">
        <v>2</v>
      </c>
      <c r="B3" s="7" t="s">
        <v>85</v>
      </c>
      <c r="C3" s="10" t="s">
        <v>6</v>
      </c>
      <c r="D3" s="6">
        <v>1</v>
      </c>
      <c r="E3" s="3">
        <f>0.015*SUM(I4:I32)</f>
        <v>13225.5</v>
      </c>
      <c r="F3" s="11"/>
      <c r="G3" s="11"/>
      <c r="H3" s="11"/>
      <c r="I3" s="12">
        <f t="shared" ref="I3:I32" si="0">D3*E3</f>
        <v>13225.5</v>
      </c>
      <c r="J3" s="11">
        <f t="shared" ref="J3:J32" si="1">I3*1.25</f>
        <v>16531.875</v>
      </c>
      <c r="K3" s="11">
        <f>I3*1.3</f>
        <v>17193.150000000001</v>
      </c>
      <c r="L3" s="13">
        <f>I3*1.4</f>
        <v>18515.699999999997</v>
      </c>
    </row>
    <row r="4" spans="1:24" x14ac:dyDescent="0.2">
      <c r="A4" s="10">
        <v>3</v>
      </c>
      <c r="B4" s="7" t="s">
        <v>78</v>
      </c>
      <c r="C4" s="10" t="s">
        <v>6</v>
      </c>
      <c r="D4" s="6">
        <v>1</v>
      </c>
      <c r="E4" s="3">
        <v>2500</v>
      </c>
      <c r="F4" s="11"/>
      <c r="G4" s="11"/>
      <c r="H4" s="11"/>
      <c r="I4" s="12">
        <f t="shared" ref="I4" si="2">D4*E4</f>
        <v>2500</v>
      </c>
      <c r="J4" s="11">
        <f t="shared" ref="J4" si="3">I4*1.25</f>
        <v>3125</v>
      </c>
      <c r="K4" s="11">
        <f>I4*1.3</f>
        <v>3250</v>
      </c>
      <c r="L4" s="13">
        <f>I4*1.4</f>
        <v>3500</v>
      </c>
    </row>
    <row r="5" spans="1:24" x14ac:dyDescent="0.2">
      <c r="A5" s="10">
        <v>4</v>
      </c>
      <c r="B5" s="7" t="s">
        <v>28</v>
      </c>
      <c r="C5" s="10" t="s">
        <v>6</v>
      </c>
      <c r="D5" s="6">
        <v>1</v>
      </c>
      <c r="E5" s="3">
        <v>20000</v>
      </c>
      <c r="F5" s="11">
        <f t="shared" ref="F5:F32" si="4">E5*1.2</f>
        <v>24000</v>
      </c>
      <c r="G5" s="11">
        <f t="shared" ref="G5:G32" si="5">E5*1.3</f>
        <v>26000</v>
      </c>
      <c r="H5" s="11">
        <f t="shared" ref="H5:H32" si="6">E5*1.4</f>
        <v>28000</v>
      </c>
      <c r="I5" s="12">
        <f t="shared" si="0"/>
        <v>20000</v>
      </c>
      <c r="J5" s="11">
        <f t="shared" si="1"/>
        <v>25000</v>
      </c>
      <c r="K5" s="11">
        <f>I5*1.3</f>
        <v>26000</v>
      </c>
      <c r="L5" s="13">
        <f>I5*1.4</f>
        <v>28000</v>
      </c>
    </row>
    <row r="6" spans="1:24" x14ac:dyDescent="0.2">
      <c r="A6" s="10">
        <v>5</v>
      </c>
      <c r="B6" s="7" t="s">
        <v>7</v>
      </c>
      <c r="C6" s="10" t="s">
        <v>6</v>
      </c>
      <c r="D6" s="6">
        <v>1</v>
      </c>
      <c r="E6" s="3">
        <v>20000</v>
      </c>
      <c r="F6" s="11">
        <f t="shared" si="4"/>
        <v>24000</v>
      </c>
      <c r="G6" s="11">
        <f t="shared" si="5"/>
        <v>26000</v>
      </c>
      <c r="H6" s="11">
        <f t="shared" si="6"/>
        <v>28000</v>
      </c>
      <c r="I6" s="12">
        <f t="shared" si="0"/>
        <v>20000</v>
      </c>
      <c r="J6" s="11">
        <f t="shared" si="1"/>
        <v>25000</v>
      </c>
      <c r="K6" s="11">
        <f t="shared" ref="K6:K7" si="7">I6*1.3</f>
        <v>26000</v>
      </c>
      <c r="L6" s="13">
        <f>I6*1.4</f>
        <v>28000</v>
      </c>
    </row>
    <row r="7" spans="1:24" x14ac:dyDescent="0.2">
      <c r="A7" s="10">
        <v>6</v>
      </c>
      <c r="B7" s="7" t="s">
        <v>27</v>
      </c>
      <c r="C7" s="10" t="s">
        <v>6</v>
      </c>
      <c r="D7" s="6">
        <v>1</v>
      </c>
      <c r="E7" s="3">
        <v>10000</v>
      </c>
      <c r="F7" s="11">
        <f t="shared" si="4"/>
        <v>12000</v>
      </c>
      <c r="G7" s="11">
        <f t="shared" si="5"/>
        <v>13000</v>
      </c>
      <c r="H7" s="11">
        <f t="shared" si="6"/>
        <v>14000</v>
      </c>
      <c r="I7" s="12">
        <f t="shared" si="0"/>
        <v>10000</v>
      </c>
      <c r="J7" s="11">
        <f t="shared" si="1"/>
        <v>12500</v>
      </c>
      <c r="K7" s="11">
        <f t="shared" si="7"/>
        <v>13000</v>
      </c>
      <c r="L7" s="13">
        <f t="shared" ref="L7:L32" si="8">D7*H7</f>
        <v>14000</v>
      </c>
    </row>
    <row r="8" spans="1:24" s="9" customFormat="1" x14ac:dyDescent="0.2">
      <c r="A8" s="10">
        <v>7</v>
      </c>
      <c r="B8" s="7" t="s">
        <v>91</v>
      </c>
      <c r="C8" s="10" t="s">
        <v>8</v>
      </c>
      <c r="D8" s="6">
        <f>ROUNDUP(T8,-2)</f>
        <v>1900</v>
      </c>
      <c r="E8" s="4">
        <v>75</v>
      </c>
      <c r="F8" s="11">
        <f t="shared" si="4"/>
        <v>90</v>
      </c>
      <c r="G8" s="11">
        <f t="shared" si="5"/>
        <v>97.5</v>
      </c>
      <c r="H8" s="11">
        <f t="shared" si="6"/>
        <v>105</v>
      </c>
      <c r="I8" s="12">
        <f t="shared" si="0"/>
        <v>142500</v>
      </c>
      <c r="J8" s="11">
        <f t="shared" si="1"/>
        <v>178125</v>
      </c>
      <c r="K8" s="11">
        <f t="shared" ref="K8:K32" si="9">D8*G8</f>
        <v>185250</v>
      </c>
      <c r="L8" s="13">
        <f t="shared" si="8"/>
        <v>199500</v>
      </c>
      <c r="M8" s="6"/>
      <c r="N8" s="52">
        <f>244+24+32</f>
        <v>300</v>
      </c>
      <c r="O8" s="52">
        <f>325</f>
        <v>325</v>
      </c>
      <c r="P8" s="52">
        <f>448</f>
        <v>448</v>
      </c>
      <c r="Q8" s="52">
        <f>71+239</f>
        <v>310</v>
      </c>
      <c r="R8" s="52">
        <f>447+7</f>
        <v>454</v>
      </c>
      <c r="S8" s="6">
        <f>42</f>
        <v>42</v>
      </c>
      <c r="T8" s="6">
        <f t="shared" ref="T8:T17" si="10">SUM(N8:S8)</f>
        <v>1879</v>
      </c>
      <c r="U8" s="9" t="b">
        <f t="shared" ref="U8:U17" si="11">IF(T8=D8,TRUE,FALSE)</f>
        <v>0</v>
      </c>
    </row>
    <row r="9" spans="1:24" s="9" customFormat="1" x14ac:dyDescent="0.2">
      <c r="A9" s="10">
        <v>8</v>
      </c>
      <c r="B9" s="7" t="s">
        <v>26</v>
      </c>
      <c r="C9" s="10" t="s">
        <v>8</v>
      </c>
      <c r="D9" s="6">
        <f>ROUNDUP(T9,-2)</f>
        <v>800</v>
      </c>
      <c r="E9" s="4">
        <v>120</v>
      </c>
      <c r="F9" s="11">
        <f t="shared" si="4"/>
        <v>144</v>
      </c>
      <c r="G9" s="11">
        <f t="shared" si="5"/>
        <v>156</v>
      </c>
      <c r="H9" s="11">
        <f t="shared" si="6"/>
        <v>168</v>
      </c>
      <c r="I9" s="12">
        <f t="shared" si="0"/>
        <v>96000</v>
      </c>
      <c r="J9" s="11">
        <f t="shared" si="1"/>
        <v>120000</v>
      </c>
      <c r="K9" s="11">
        <f t="shared" si="9"/>
        <v>124800</v>
      </c>
      <c r="L9" s="13">
        <f t="shared" si="8"/>
        <v>134400</v>
      </c>
      <c r="M9" s="6"/>
      <c r="N9" s="6"/>
      <c r="O9" s="52">
        <f>175</f>
        <v>175</v>
      </c>
      <c r="P9" s="52">
        <f>52</f>
        <v>52</v>
      </c>
      <c r="Q9" s="52">
        <f>190</f>
        <v>190</v>
      </c>
      <c r="R9" s="52">
        <f>46</f>
        <v>46</v>
      </c>
      <c r="S9" s="6">
        <f>321</f>
        <v>321</v>
      </c>
      <c r="T9" s="6">
        <f t="shared" si="10"/>
        <v>784</v>
      </c>
      <c r="U9" s="9" t="b">
        <f t="shared" si="11"/>
        <v>0</v>
      </c>
    </row>
    <row r="10" spans="1:24" s="9" customFormat="1" x14ac:dyDescent="0.2">
      <c r="A10" s="10">
        <v>9</v>
      </c>
      <c r="B10" s="7" t="s">
        <v>25</v>
      </c>
      <c r="C10" s="10" t="s">
        <v>8</v>
      </c>
      <c r="D10" s="6">
        <f>ROUNDUP(T10,-2)</f>
        <v>1100</v>
      </c>
      <c r="E10" s="4">
        <v>150</v>
      </c>
      <c r="F10" s="11">
        <f t="shared" si="4"/>
        <v>180</v>
      </c>
      <c r="G10" s="11">
        <f t="shared" si="5"/>
        <v>195</v>
      </c>
      <c r="H10" s="11">
        <f t="shared" si="6"/>
        <v>210</v>
      </c>
      <c r="I10" s="12">
        <f t="shared" si="0"/>
        <v>165000</v>
      </c>
      <c r="J10" s="11">
        <f t="shared" si="1"/>
        <v>206250</v>
      </c>
      <c r="K10" s="11">
        <f t="shared" si="9"/>
        <v>214500</v>
      </c>
      <c r="L10" s="13">
        <f t="shared" si="8"/>
        <v>231000</v>
      </c>
      <c r="M10" s="6"/>
      <c r="N10" s="6"/>
      <c r="O10" s="6"/>
      <c r="P10" s="52">
        <f>246</f>
        <v>246</v>
      </c>
      <c r="Q10" s="52">
        <f>71+239</f>
        <v>310</v>
      </c>
      <c r="R10" s="52">
        <f>443+11</f>
        <v>454</v>
      </c>
      <c r="S10" s="6">
        <f>34</f>
        <v>34</v>
      </c>
      <c r="T10" s="6">
        <f t="shared" si="10"/>
        <v>1044</v>
      </c>
      <c r="U10" s="9" t="b">
        <f t="shared" si="11"/>
        <v>0</v>
      </c>
    </row>
    <row r="11" spans="1:24" x14ac:dyDescent="0.2">
      <c r="A11" s="10">
        <v>10</v>
      </c>
      <c r="B11" s="7" t="s">
        <v>24</v>
      </c>
      <c r="C11" s="10" t="s">
        <v>8</v>
      </c>
      <c r="D11" s="6">
        <f>ROUNDUP(T11,-2)</f>
        <v>600</v>
      </c>
      <c r="E11" s="3">
        <v>250</v>
      </c>
      <c r="F11" s="11">
        <f t="shared" si="4"/>
        <v>300</v>
      </c>
      <c r="G11" s="11">
        <f t="shared" si="5"/>
        <v>325</v>
      </c>
      <c r="H11" s="11">
        <f t="shared" si="6"/>
        <v>350</v>
      </c>
      <c r="I11" s="12">
        <f t="shared" si="0"/>
        <v>150000</v>
      </c>
      <c r="J11" s="11">
        <f t="shared" si="1"/>
        <v>187500</v>
      </c>
      <c r="K11" s="11">
        <f t="shared" si="9"/>
        <v>195000</v>
      </c>
      <c r="L11" s="13">
        <f t="shared" si="8"/>
        <v>210000</v>
      </c>
      <c r="Q11" s="52">
        <f>190</f>
        <v>190</v>
      </c>
      <c r="R11" s="52">
        <f>46</f>
        <v>46</v>
      </c>
      <c r="S11" s="6">
        <f>321</f>
        <v>321</v>
      </c>
      <c r="T11" s="6">
        <f t="shared" si="10"/>
        <v>557</v>
      </c>
      <c r="U11" s="6" t="b">
        <f t="shared" si="11"/>
        <v>0</v>
      </c>
    </row>
    <row r="12" spans="1:24" x14ac:dyDescent="0.2">
      <c r="A12" s="10">
        <v>11</v>
      </c>
      <c r="B12" s="7" t="s">
        <v>81</v>
      </c>
      <c r="C12" s="10" t="s">
        <v>6</v>
      </c>
      <c r="D12" s="6">
        <f>1</f>
        <v>1</v>
      </c>
      <c r="E12" s="4">
        <v>12500</v>
      </c>
      <c r="F12" s="11">
        <f t="shared" si="4"/>
        <v>15000</v>
      </c>
      <c r="G12" s="11">
        <f t="shared" si="5"/>
        <v>16250</v>
      </c>
      <c r="H12" s="11">
        <f t="shared" si="6"/>
        <v>17500</v>
      </c>
      <c r="I12" s="12">
        <f t="shared" si="0"/>
        <v>12500</v>
      </c>
      <c r="J12" s="11">
        <f t="shared" si="1"/>
        <v>15625</v>
      </c>
      <c r="K12" s="11">
        <f t="shared" si="9"/>
        <v>16250</v>
      </c>
      <c r="L12" s="13">
        <f t="shared" si="8"/>
        <v>17500</v>
      </c>
      <c r="P12" s="6">
        <f>1</f>
        <v>1</v>
      </c>
      <c r="T12" s="6">
        <f t="shared" si="10"/>
        <v>1</v>
      </c>
      <c r="U12" s="6" t="b">
        <f t="shared" si="11"/>
        <v>1</v>
      </c>
    </row>
    <row r="13" spans="1:24" s="9" customFormat="1" x14ac:dyDescent="0.2">
      <c r="A13" s="10">
        <v>12</v>
      </c>
      <c r="B13" s="7" t="s">
        <v>72</v>
      </c>
      <c r="C13" s="10" t="s">
        <v>9</v>
      </c>
      <c r="D13" s="6">
        <f>1+1+1+1+1+1+1</f>
        <v>7</v>
      </c>
      <c r="E13" s="4">
        <v>4000</v>
      </c>
      <c r="F13" s="11">
        <f t="shared" si="4"/>
        <v>4800</v>
      </c>
      <c r="G13" s="11">
        <f t="shared" si="5"/>
        <v>5200</v>
      </c>
      <c r="H13" s="11">
        <f t="shared" si="6"/>
        <v>5600</v>
      </c>
      <c r="I13" s="12">
        <f t="shared" si="0"/>
        <v>28000</v>
      </c>
      <c r="J13" s="11">
        <f t="shared" si="1"/>
        <v>35000</v>
      </c>
      <c r="K13" s="11">
        <f t="shared" si="9"/>
        <v>36400</v>
      </c>
      <c r="L13" s="13">
        <f t="shared" si="8"/>
        <v>39200</v>
      </c>
      <c r="M13" s="6"/>
      <c r="N13" s="6"/>
      <c r="O13" s="6">
        <f>1+1</f>
        <v>2</v>
      </c>
      <c r="P13" s="6">
        <f>1+1</f>
        <v>2</v>
      </c>
      <c r="Q13" s="6"/>
      <c r="R13" s="6">
        <f>1+1</f>
        <v>2</v>
      </c>
      <c r="S13" s="6">
        <f>1</f>
        <v>1</v>
      </c>
      <c r="T13" s="6">
        <f t="shared" si="10"/>
        <v>7</v>
      </c>
      <c r="U13" s="9" t="b">
        <f t="shared" si="11"/>
        <v>1</v>
      </c>
    </row>
    <row r="14" spans="1:24" x14ac:dyDescent="0.2">
      <c r="A14" s="10">
        <v>13</v>
      </c>
      <c r="B14" s="7" t="s">
        <v>73</v>
      </c>
      <c r="C14" s="10" t="s">
        <v>9</v>
      </c>
      <c r="D14" s="6">
        <f>1+1+1</f>
        <v>3</v>
      </c>
      <c r="E14" s="4">
        <v>6000</v>
      </c>
      <c r="F14" s="11">
        <f t="shared" si="4"/>
        <v>7200</v>
      </c>
      <c r="G14" s="11">
        <f t="shared" si="5"/>
        <v>7800</v>
      </c>
      <c r="H14" s="11">
        <f t="shared" si="6"/>
        <v>8400</v>
      </c>
      <c r="I14" s="12">
        <f t="shared" si="0"/>
        <v>18000</v>
      </c>
      <c r="J14" s="11">
        <f t="shared" si="1"/>
        <v>22500</v>
      </c>
      <c r="K14" s="11">
        <f t="shared" si="9"/>
        <v>23400</v>
      </c>
      <c r="L14" s="13">
        <f t="shared" si="8"/>
        <v>25200</v>
      </c>
      <c r="R14" s="6">
        <f>1+1</f>
        <v>2</v>
      </c>
      <c r="S14" s="6">
        <f>1</f>
        <v>1</v>
      </c>
      <c r="T14" s="6">
        <f t="shared" si="10"/>
        <v>3</v>
      </c>
      <c r="U14" s="6" t="b">
        <f t="shared" si="11"/>
        <v>1</v>
      </c>
    </row>
    <row r="15" spans="1:24" s="9" customFormat="1" x14ac:dyDescent="0.2">
      <c r="A15" s="10">
        <v>14</v>
      </c>
      <c r="B15" s="7" t="s">
        <v>92</v>
      </c>
      <c r="C15" s="10" t="s">
        <v>8</v>
      </c>
      <c r="D15" s="6">
        <v>20</v>
      </c>
      <c r="E15" s="4">
        <v>50</v>
      </c>
      <c r="F15" s="11">
        <f t="shared" si="4"/>
        <v>60</v>
      </c>
      <c r="G15" s="11">
        <f t="shared" si="5"/>
        <v>65</v>
      </c>
      <c r="H15" s="11">
        <f t="shared" si="6"/>
        <v>70</v>
      </c>
      <c r="I15" s="12">
        <f t="shared" si="0"/>
        <v>1000</v>
      </c>
      <c r="J15" s="11">
        <f t="shared" si="1"/>
        <v>1250</v>
      </c>
      <c r="K15" s="11">
        <f t="shared" si="9"/>
        <v>1300</v>
      </c>
      <c r="L15" s="13">
        <f t="shared" si="8"/>
        <v>1400</v>
      </c>
      <c r="M15" s="6"/>
      <c r="N15" s="6"/>
      <c r="O15" s="6"/>
      <c r="P15" s="6"/>
      <c r="Q15" s="6"/>
      <c r="R15" s="6"/>
      <c r="S15" s="6">
        <f>10</f>
        <v>10</v>
      </c>
      <c r="T15" s="6">
        <f t="shared" si="10"/>
        <v>10</v>
      </c>
      <c r="U15" s="9" t="b">
        <f t="shared" si="11"/>
        <v>0</v>
      </c>
    </row>
    <row r="16" spans="1:24" s="9" customFormat="1" x14ac:dyDescent="0.2">
      <c r="A16" s="10">
        <v>15</v>
      </c>
      <c r="B16" s="6" t="s">
        <v>79</v>
      </c>
      <c r="C16" s="10" t="s">
        <v>9</v>
      </c>
      <c r="D16" s="6">
        <v>1</v>
      </c>
      <c r="E16" s="4">
        <v>5000</v>
      </c>
      <c r="F16" s="11">
        <f t="shared" si="4"/>
        <v>6000</v>
      </c>
      <c r="G16" s="11">
        <f t="shared" si="5"/>
        <v>6500</v>
      </c>
      <c r="H16" s="11">
        <f t="shared" si="6"/>
        <v>7000</v>
      </c>
      <c r="I16" s="12">
        <f t="shared" si="0"/>
        <v>5000</v>
      </c>
      <c r="J16" s="11">
        <f t="shared" si="1"/>
        <v>6250</v>
      </c>
      <c r="K16" s="11">
        <f t="shared" si="9"/>
        <v>6500</v>
      </c>
      <c r="L16" s="13">
        <f t="shared" si="8"/>
        <v>7000</v>
      </c>
      <c r="M16" s="6"/>
      <c r="N16" s="6"/>
      <c r="O16" s="6"/>
      <c r="P16" s="6"/>
      <c r="Q16" s="6"/>
      <c r="R16" s="6"/>
      <c r="S16" s="6">
        <f>1</f>
        <v>1</v>
      </c>
      <c r="T16" s="6">
        <f t="shared" si="10"/>
        <v>1</v>
      </c>
      <c r="U16" s="9" t="b">
        <f t="shared" si="11"/>
        <v>1</v>
      </c>
    </row>
    <row r="17" spans="1:21" x14ac:dyDescent="0.2">
      <c r="A17" s="10">
        <v>16</v>
      </c>
      <c r="B17" s="7" t="s">
        <v>23</v>
      </c>
      <c r="C17" s="10" t="s">
        <v>22</v>
      </c>
      <c r="D17" s="6">
        <f>ROUNDUP('Fittings #'!E20,-2)</f>
        <v>5000</v>
      </c>
      <c r="E17" s="4">
        <v>5</v>
      </c>
      <c r="F17" s="11">
        <f t="shared" si="4"/>
        <v>6</v>
      </c>
      <c r="G17" s="11">
        <f t="shared" si="5"/>
        <v>6.5</v>
      </c>
      <c r="H17" s="11">
        <f t="shared" si="6"/>
        <v>7</v>
      </c>
      <c r="I17" s="12">
        <f t="shared" si="0"/>
        <v>25000</v>
      </c>
      <c r="J17" s="11">
        <f t="shared" si="1"/>
        <v>31250</v>
      </c>
      <c r="K17" s="11">
        <f t="shared" si="9"/>
        <v>32500</v>
      </c>
      <c r="L17" s="13">
        <f t="shared" si="8"/>
        <v>35000</v>
      </c>
      <c r="N17" s="6">
        <f>1+1+1</f>
        <v>3</v>
      </c>
      <c r="P17" s="6">
        <f>2</f>
        <v>2</v>
      </c>
      <c r="Q17" s="6">
        <f>1</f>
        <v>1</v>
      </c>
      <c r="R17" s="6">
        <f>1</f>
        <v>1</v>
      </c>
      <c r="T17" s="6">
        <f t="shared" si="10"/>
        <v>7</v>
      </c>
      <c r="U17" s="6" t="b">
        <f t="shared" si="11"/>
        <v>0</v>
      </c>
    </row>
    <row r="18" spans="1:21" x14ac:dyDescent="0.2">
      <c r="A18" s="10">
        <v>17</v>
      </c>
      <c r="B18" s="7" t="s">
        <v>82</v>
      </c>
      <c r="C18" s="10" t="s">
        <v>22</v>
      </c>
      <c r="D18" s="6">
        <f>ROUNDUP('Fittings #'!H20,-2)</f>
        <v>3200</v>
      </c>
      <c r="E18" s="4">
        <v>7.5</v>
      </c>
      <c r="F18" s="11">
        <f t="shared" si="4"/>
        <v>9</v>
      </c>
      <c r="G18" s="11">
        <f t="shared" si="5"/>
        <v>9.75</v>
      </c>
      <c r="H18" s="11">
        <f t="shared" si="6"/>
        <v>10.5</v>
      </c>
      <c r="I18" s="12">
        <f t="shared" si="0"/>
        <v>24000</v>
      </c>
      <c r="J18" s="11">
        <f t="shared" si="1"/>
        <v>30000</v>
      </c>
      <c r="K18" s="11">
        <f t="shared" si="9"/>
        <v>31200</v>
      </c>
      <c r="L18" s="13">
        <f t="shared" si="8"/>
        <v>33600</v>
      </c>
    </row>
    <row r="19" spans="1:21" x14ac:dyDescent="0.2">
      <c r="A19" s="10">
        <v>18</v>
      </c>
      <c r="B19" s="7" t="s">
        <v>83</v>
      </c>
      <c r="C19" s="10" t="s">
        <v>6</v>
      </c>
      <c r="D19" s="6">
        <f>ROUNDUP('Fittings #'!H26,-2)</f>
        <v>2000</v>
      </c>
      <c r="E19" s="4">
        <v>7.5</v>
      </c>
      <c r="F19" s="11">
        <f t="shared" si="4"/>
        <v>9</v>
      </c>
      <c r="G19" s="11">
        <f t="shared" si="5"/>
        <v>9.75</v>
      </c>
      <c r="H19" s="11">
        <f t="shared" si="6"/>
        <v>10.5</v>
      </c>
      <c r="I19" s="12">
        <f t="shared" si="0"/>
        <v>15000</v>
      </c>
      <c r="J19" s="11">
        <f t="shared" si="1"/>
        <v>18750</v>
      </c>
      <c r="K19" s="11">
        <f t="shared" si="9"/>
        <v>19500</v>
      </c>
      <c r="L19" s="13">
        <f t="shared" si="8"/>
        <v>21000</v>
      </c>
    </row>
    <row r="20" spans="1:21" x14ac:dyDescent="0.2">
      <c r="A20" s="10">
        <v>19</v>
      </c>
      <c r="B20" s="7" t="s">
        <v>71</v>
      </c>
      <c r="C20" s="10" t="s">
        <v>8</v>
      </c>
      <c r="D20" s="6">
        <f>D8+D10+D15</f>
        <v>3020</v>
      </c>
      <c r="E20" s="3">
        <v>15</v>
      </c>
      <c r="F20" s="11">
        <f t="shared" si="4"/>
        <v>18</v>
      </c>
      <c r="G20" s="11">
        <f t="shared" si="5"/>
        <v>19.5</v>
      </c>
      <c r="H20" s="11">
        <f t="shared" si="6"/>
        <v>21</v>
      </c>
      <c r="I20" s="12">
        <f t="shared" si="0"/>
        <v>45300</v>
      </c>
      <c r="J20" s="11">
        <f t="shared" si="1"/>
        <v>56625</v>
      </c>
      <c r="K20" s="11">
        <f t="shared" si="9"/>
        <v>58890</v>
      </c>
      <c r="L20" s="13">
        <f t="shared" si="8"/>
        <v>63420</v>
      </c>
    </row>
    <row r="21" spans="1:21" s="9" customFormat="1" x14ac:dyDescent="0.2">
      <c r="A21" s="10">
        <v>20</v>
      </c>
      <c r="B21" s="7" t="s">
        <v>21</v>
      </c>
      <c r="C21" s="10" t="s">
        <v>6</v>
      </c>
      <c r="D21" s="6">
        <v>1</v>
      </c>
      <c r="E21" s="4">
        <v>5000</v>
      </c>
      <c r="F21" s="11">
        <f t="shared" si="4"/>
        <v>6000</v>
      </c>
      <c r="G21" s="11">
        <f t="shared" si="5"/>
        <v>6500</v>
      </c>
      <c r="H21" s="11">
        <f t="shared" si="6"/>
        <v>7000</v>
      </c>
      <c r="I21" s="12">
        <f t="shared" si="0"/>
        <v>5000</v>
      </c>
      <c r="J21" s="11">
        <f t="shared" si="1"/>
        <v>6250</v>
      </c>
      <c r="K21" s="11">
        <f t="shared" si="9"/>
        <v>6500</v>
      </c>
      <c r="L21" s="13">
        <f t="shared" si="8"/>
        <v>7000</v>
      </c>
      <c r="M21" s="6"/>
      <c r="N21" s="6">
        <v>1</v>
      </c>
      <c r="O21" s="6"/>
      <c r="P21" s="6"/>
      <c r="Q21" s="6"/>
      <c r="R21" s="6"/>
      <c r="S21" s="6"/>
      <c r="T21" s="6">
        <f>SUM(N21:S21)</f>
        <v>1</v>
      </c>
      <c r="U21" s="9" t="b">
        <f>IF(T21=D21,TRUE,FALSE)</f>
        <v>1</v>
      </c>
    </row>
    <row r="22" spans="1:21" x14ac:dyDescent="0.2">
      <c r="A22" s="10">
        <v>21</v>
      </c>
      <c r="B22" s="7" t="s">
        <v>20</v>
      </c>
      <c r="C22" s="10" t="s">
        <v>9</v>
      </c>
      <c r="D22" s="6">
        <f>T22</f>
        <v>1</v>
      </c>
      <c r="E22" s="4">
        <v>7500</v>
      </c>
      <c r="F22" s="11">
        <f t="shared" si="4"/>
        <v>9000</v>
      </c>
      <c r="G22" s="11">
        <f t="shared" si="5"/>
        <v>9750</v>
      </c>
      <c r="H22" s="11">
        <f t="shared" si="6"/>
        <v>10500</v>
      </c>
      <c r="I22" s="12">
        <f t="shared" si="0"/>
        <v>7500</v>
      </c>
      <c r="J22" s="11">
        <f t="shared" si="1"/>
        <v>9375</v>
      </c>
      <c r="K22" s="11">
        <f t="shared" si="9"/>
        <v>9750</v>
      </c>
      <c r="L22" s="13">
        <f t="shared" si="8"/>
        <v>10500</v>
      </c>
      <c r="S22" s="6">
        <f>1</f>
        <v>1</v>
      </c>
      <c r="T22" s="6">
        <f>SUM(N22:S22)</f>
        <v>1</v>
      </c>
      <c r="U22" s="6" t="b">
        <f>IF(T22=D22,TRUE,FALSE)</f>
        <v>1</v>
      </c>
    </row>
    <row r="23" spans="1:21" s="9" customFormat="1" x14ac:dyDescent="0.2">
      <c r="A23" s="10">
        <v>22</v>
      </c>
      <c r="B23" s="7" t="s">
        <v>70</v>
      </c>
      <c r="C23" s="10" t="s">
        <v>9</v>
      </c>
      <c r="D23" s="6">
        <f>T23</f>
        <v>4</v>
      </c>
      <c r="E23" s="4">
        <v>10000</v>
      </c>
      <c r="F23" s="11">
        <f t="shared" si="4"/>
        <v>12000</v>
      </c>
      <c r="G23" s="11">
        <f t="shared" si="5"/>
        <v>13000</v>
      </c>
      <c r="H23" s="11">
        <f t="shared" si="6"/>
        <v>14000</v>
      </c>
      <c r="I23" s="12">
        <f t="shared" si="0"/>
        <v>40000</v>
      </c>
      <c r="J23" s="11">
        <f t="shared" si="1"/>
        <v>50000</v>
      </c>
      <c r="K23" s="11">
        <f t="shared" si="9"/>
        <v>52000</v>
      </c>
      <c r="L23" s="13">
        <f t="shared" si="8"/>
        <v>56000</v>
      </c>
      <c r="M23" s="6"/>
      <c r="N23" s="6"/>
      <c r="O23" s="6">
        <f>1</f>
        <v>1</v>
      </c>
      <c r="P23" s="6"/>
      <c r="Q23" s="6">
        <v>2</v>
      </c>
      <c r="R23" s="6">
        <f>1</f>
        <v>1</v>
      </c>
      <c r="S23" s="6"/>
      <c r="T23" s="6">
        <f>SUM(N23:S23)</f>
        <v>4</v>
      </c>
    </row>
    <row r="24" spans="1:21" s="9" customFormat="1" x14ac:dyDescent="0.2">
      <c r="A24" s="10">
        <v>23</v>
      </c>
      <c r="B24" s="7" t="s">
        <v>80</v>
      </c>
      <c r="C24" s="10" t="s">
        <v>9</v>
      </c>
      <c r="D24" s="6">
        <v>2</v>
      </c>
      <c r="E24" s="4">
        <v>2500</v>
      </c>
      <c r="F24" s="11">
        <f t="shared" si="4"/>
        <v>3000</v>
      </c>
      <c r="G24" s="11">
        <f t="shared" si="5"/>
        <v>3250</v>
      </c>
      <c r="H24" s="11">
        <f t="shared" si="6"/>
        <v>3500</v>
      </c>
      <c r="I24" s="12">
        <f t="shared" ref="I24" si="12">D24*E24</f>
        <v>5000</v>
      </c>
      <c r="J24" s="11">
        <f t="shared" ref="J24" si="13">I24*1.25</f>
        <v>6250</v>
      </c>
      <c r="K24" s="11">
        <f t="shared" ref="K24" si="14">D24*G24</f>
        <v>6500</v>
      </c>
      <c r="L24" s="13">
        <f t="shared" ref="L24" si="15">D24*H24</f>
        <v>7000</v>
      </c>
      <c r="M24" s="6"/>
      <c r="N24" s="6"/>
      <c r="O24" s="6"/>
      <c r="P24" s="6"/>
      <c r="Q24" s="6"/>
      <c r="R24" s="6"/>
      <c r="S24" s="6"/>
      <c r="T24" s="6"/>
    </row>
    <row r="25" spans="1:21" ht="15" x14ac:dyDescent="0.25">
      <c r="A25" s="10">
        <v>24</v>
      </c>
      <c r="B25" s="7" t="s">
        <v>90</v>
      </c>
      <c r="C25" s="10" t="s">
        <v>6</v>
      </c>
      <c r="D25" s="6">
        <v>1</v>
      </c>
      <c r="E25" s="4">
        <v>2500</v>
      </c>
      <c r="F25" s="11">
        <f t="shared" si="4"/>
        <v>3000</v>
      </c>
      <c r="G25" s="11">
        <f t="shared" si="5"/>
        <v>3250</v>
      </c>
      <c r="H25" s="11">
        <f t="shared" si="6"/>
        <v>3500</v>
      </c>
      <c r="I25" s="12">
        <f t="shared" si="0"/>
        <v>2500</v>
      </c>
      <c r="J25" s="11">
        <f t="shared" si="1"/>
        <v>3125</v>
      </c>
      <c r="K25" s="11">
        <f t="shared" si="9"/>
        <v>3250</v>
      </c>
      <c r="L25" s="13">
        <f t="shared" si="8"/>
        <v>3500</v>
      </c>
    </row>
    <row r="26" spans="1:21" x14ac:dyDescent="0.2">
      <c r="A26" s="10">
        <v>25</v>
      </c>
      <c r="B26" s="7" t="s">
        <v>89</v>
      </c>
      <c r="C26" s="10" t="s">
        <v>19</v>
      </c>
      <c r="D26" s="6">
        <f>ROUNDUP(T26,-1)</f>
        <v>720</v>
      </c>
      <c r="E26" s="4">
        <v>10</v>
      </c>
      <c r="F26" s="11">
        <f t="shared" si="4"/>
        <v>12</v>
      </c>
      <c r="G26" s="11">
        <f t="shared" si="5"/>
        <v>13</v>
      </c>
      <c r="H26" s="11">
        <f t="shared" si="6"/>
        <v>14</v>
      </c>
      <c r="I26" s="12">
        <f t="shared" si="0"/>
        <v>7200</v>
      </c>
      <c r="J26" s="11">
        <f t="shared" si="1"/>
        <v>9000</v>
      </c>
      <c r="K26" s="11">
        <f t="shared" si="9"/>
        <v>9360</v>
      </c>
      <c r="L26" s="13">
        <f t="shared" si="8"/>
        <v>10080</v>
      </c>
      <c r="O26" s="6">
        <f>80+65+94</f>
        <v>239</v>
      </c>
      <c r="P26" s="6">
        <f>119+105+257</f>
        <v>481</v>
      </c>
      <c r="T26" s="6">
        <f>SUM(N26:S26)</f>
        <v>720</v>
      </c>
      <c r="U26" s="6" t="b">
        <f>IF(T26=D26,TRUE,FALSE)</f>
        <v>1</v>
      </c>
    </row>
    <row r="27" spans="1:21" x14ac:dyDescent="0.2">
      <c r="A27" s="10">
        <v>26</v>
      </c>
      <c r="B27" s="7" t="s">
        <v>18</v>
      </c>
      <c r="C27" s="10" t="s">
        <v>10</v>
      </c>
      <c r="D27" s="6">
        <f>ROUNDUP(T27/9,-1)</f>
        <v>120</v>
      </c>
      <c r="E27" s="4">
        <v>22.5</v>
      </c>
      <c r="F27" s="11">
        <f t="shared" si="4"/>
        <v>27</v>
      </c>
      <c r="G27" s="11">
        <f t="shared" si="5"/>
        <v>29.25</v>
      </c>
      <c r="H27" s="11">
        <f t="shared" si="6"/>
        <v>31.499999999999996</v>
      </c>
      <c r="I27" s="12">
        <f t="shared" si="0"/>
        <v>2700</v>
      </c>
      <c r="J27" s="11">
        <f t="shared" si="1"/>
        <v>3375</v>
      </c>
      <c r="K27" s="11">
        <f t="shared" si="9"/>
        <v>3510</v>
      </c>
      <c r="L27" s="13">
        <f t="shared" si="8"/>
        <v>3779.9999999999995</v>
      </c>
      <c r="N27" s="6">
        <f>42*25</f>
        <v>1050</v>
      </c>
      <c r="T27" s="6">
        <f>SUM(N27:S27)</f>
        <v>1050</v>
      </c>
      <c r="U27" s="6" t="b">
        <f>IF(T27=D27,TRUE,FALSE)</f>
        <v>0</v>
      </c>
    </row>
    <row r="28" spans="1:21" x14ac:dyDescent="0.2">
      <c r="A28" s="10">
        <v>27</v>
      </c>
      <c r="B28" s="7" t="s">
        <v>17</v>
      </c>
      <c r="C28" s="10" t="s">
        <v>10</v>
      </c>
      <c r="D28" s="6">
        <f>ROUNDUP(T28/9,-3)</f>
        <v>2000</v>
      </c>
      <c r="E28" s="4">
        <v>0.5</v>
      </c>
      <c r="F28" s="11">
        <f t="shared" si="4"/>
        <v>0.6</v>
      </c>
      <c r="G28" s="11">
        <f t="shared" si="5"/>
        <v>0.65</v>
      </c>
      <c r="H28" s="11">
        <f t="shared" si="6"/>
        <v>0.7</v>
      </c>
      <c r="I28" s="12">
        <f t="shared" si="0"/>
        <v>1000</v>
      </c>
      <c r="J28" s="11">
        <f t="shared" si="1"/>
        <v>1250</v>
      </c>
      <c r="K28" s="11">
        <f t="shared" si="9"/>
        <v>1300</v>
      </c>
      <c r="L28" s="13">
        <f t="shared" si="8"/>
        <v>1400</v>
      </c>
      <c r="N28" s="6">
        <f>4.5*N8+5*N10</f>
        <v>1350</v>
      </c>
      <c r="O28" s="6">
        <f t="shared" ref="O28:S28" si="16">4.5*O8+5*O10</f>
        <v>1462.5</v>
      </c>
      <c r="P28" s="6">
        <f t="shared" si="16"/>
        <v>3246</v>
      </c>
      <c r="Q28" s="6">
        <f t="shared" si="16"/>
        <v>2945</v>
      </c>
      <c r="R28" s="6">
        <f t="shared" si="16"/>
        <v>4313</v>
      </c>
      <c r="S28" s="6">
        <f t="shared" si="16"/>
        <v>359</v>
      </c>
      <c r="T28" s="6">
        <f>SUM(N28:S28)</f>
        <v>13675.5</v>
      </c>
      <c r="U28" s="6" t="b">
        <f>IF(T28=D28,TRUE,FALSE)</f>
        <v>0</v>
      </c>
    </row>
    <row r="29" spans="1:21" s="9" customFormat="1" x14ac:dyDescent="0.2">
      <c r="A29" s="10">
        <v>28</v>
      </c>
      <c r="B29" s="7" t="s">
        <v>84</v>
      </c>
      <c r="C29" s="10" t="s">
        <v>6</v>
      </c>
      <c r="D29" s="6">
        <v>1</v>
      </c>
      <c r="E29" s="5">
        <v>1000</v>
      </c>
      <c r="F29" s="11">
        <f t="shared" si="4"/>
        <v>1200</v>
      </c>
      <c r="G29" s="11">
        <f t="shared" si="5"/>
        <v>1300</v>
      </c>
      <c r="H29" s="11">
        <f t="shared" si="6"/>
        <v>1400</v>
      </c>
      <c r="I29" s="12">
        <f t="shared" si="0"/>
        <v>1000</v>
      </c>
      <c r="J29" s="11">
        <f t="shared" si="1"/>
        <v>1250</v>
      </c>
      <c r="K29" s="11">
        <f t="shared" si="9"/>
        <v>1300</v>
      </c>
      <c r="L29" s="13">
        <f t="shared" si="8"/>
        <v>1400</v>
      </c>
      <c r="M29" s="6"/>
      <c r="N29" s="6">
        <v>1</v>
      </c>
      <c r="O29" s="6"/>
      <c r="P29" s="6"/>
      <c r="Q29" s="6"/>
      <c r="R29" s="6"/>
      <c r="S29" s="6"/>
      <c r="T29" s="6">
        <f>SUM(N29:S29)</f>
        <v>1</v>
      </c>
      <c r="U29" s="9" t="b">
        <f>IF(T29=D29,TRUE,FALSE)</f>
        <v>1</v>
      </c>
    </row>
    <row r="30" spans="1:21" s="9" customFormat="1" x14ac:dyDescent="0.2">
      <c r="A30" s="10">
        <v>29</v>
      </c>
      <c r="B30" s="7" t="s">
        <v>87</v>
      </c>
      <c r="C30" s="10" t="s">
        <v>6</v>
      </c>
      <c r="D30" s="6">
        <v>1</v>
      </c>
      <c r="E30" s="5">
        <v>20000</v>
      </c>
      <c r="F30" s="11">
        <f t="shared" si="4"/>
        <v>24000</v>
      </c>
      <c r="G30" s="11">
        <f t="shared" si="5"/>
        <v>26000</v>
      </c>
      <c r="H30" s="11">
        <f t="shared" si="6"/>
        <v>28000</v>
      </c>
      <c r="I30" s="12">
        <f t="shared" si="0"/>
        <v>20000</v>
      </c>
      <c r="J30" s="11">
        <f t="shared" si="1"/>
        <v>25000</v>
      </c>
      <c r="K30" s="11">
        <f t="shared" si="9"/>
        <v>26000</v>
      </c>
      <c r="L30" s="13">
        <f t="shared" si="8"/>
        <v>28000</v>
      </c>
      <c r="M30" s="6"/>
      <c r="N30" s="6"/>
      <c r="O30" s="6"/>
      <c r="P30" s="6"/>
      <c r="Q30" s="6"/>
      <c r="R30" s="6"/>
      <c r="S30" s="6"/>
      <c r="T30" s="6"/>
    </row>
    <row r="31" spans="1:21" s="9" customFormat="1" x14ac:dyDescent="0.2">
      <c r="A31" s="10">
        <v>30</v>
      </c>
      <c r="B31" s="7" t="s">
        <v>88</v>
      </c>
      <c r="C31" s="10" t="s">
        <v>6</v>
      </c>
      <c r="D31" s="6">
        <v>1</v>
      </c>
      <c r="E31" s="5">
        <v>7500</v>
      </c>
      <c r="F31" s="11">
        <f t="shared" si="4"/>
        <v>9000</v>
      </c>
      <c r="G31" s="11">
        <f t="shared" si="5"/>
        <v>9750</v>
      </c>
      <c r="H31" s="11">
        <f t="shared" si="6"/>
        <v>10500</v>
      </c>
      <c r="I31" s="12">
        <f t="shared" si="0"/>
        <v>7500</v>
      </c>
      <c r="J31" s="11">
        <f t="shared" si="1"/>
        <v>9375</v>
      </c>
      <c r="K31" s="11">
        <f t="shared" si="9"/>
        <v>9750</v>
      </c>
      <c r="L31" s="13">
        <f t="shared" si="8"/>
        <v>10500</v>
      </c>
      <c r="M31" s="6"/>
      <c r="N31" s="6"/>
      <c r="O31" s="6"/>
      <c r="P31" s="6"/>
      <c r="Q31" s="6"/>
      <c r="R31" s="6"/>
      <c r="S31" s="6"/>
      <c r="T31" s="6"/>
    </row>
    <row r="32" spans="1:21" x14ac:dyDescent="0.2">
      <c r="A32" s="10">
        <v>31</v>
      </c>
      <c r="B32" s="7" t="s">
        <v>16</v>
      </c>
      <c r="C32" s="10" t="s">
        <v>6</v>
      </c>
      <c r="D32" s="6">
        <v>1</v>
      </c>
      <c r="E32" s="4">
        <v>2500</v>
      </c>
      <c r="F32" s="11">
        <f t="shared" si="4"/>
        <v>3000</v>
      </c>
      <c r="G32" s="11">
        <f t="shared" si="5"/>
        <v>3250</v>
      </c>
      <c r="H32" s="11">
        <f t="shared" si="6"/>
        <v>3500</v>
      </c>
      <c r="I32" s="12">
        <f t="shared" si="0"/>
        <v>2500</v>
      </c>
      <c r="J32" s="11">
        <f t="shared" si="1"/>
        <v>3125</v>
      </c>
      <c r="K32" s="11">
        <f t="shared" si="9"/>
        <v>3250</v>
      </c>
      <c r="L32" s="13">
        <f t="shared" si="8"/>
        <v>3500</v>
      </c>
      <c r="N32" s="6">
        <v>1</v>
      </c>
      <c r="T32" s="6">
        <f>SUM(N32:S32)</f>
        <v>1</v>
      </c>
      <c r="U32" s="6" t="b">
        <f>IF(T32=D32,TRUE,FALSE)</f>
        <v>1</v>
      </c>
    </row>
    <row r="33" spans="1:21" x14ac:dyDescent="0.2">
      <c r="A33" s="10"/>
      <c r="B33" s="7"/>
      <c r="C33" s="10"/>
      <c r="E33" s="4"/>
      <c r="F33" s="11"/>
      <c r="G33" s="11"/>
      <c r="H33" s="11"/>
      <c r="I33" s="15">
        <f>SUM(I2:I32)</f>
        <v>912559.5</v>
      </c>
      <c r="J33" s="15">
        <f>SUM(J2:J32)</f>
        <v>1140699.375</v>
      </c>
      <c r="K33" s="15">
        <f>SUM(K2:K32)</f>
        <v>1186327.3500000001</v>
      </c>
      <c r="L33" s="15">
        <f>SUM(L2:L32)</f>
        <v>1277583.3</v>
      </c>
    </row>
    <row r="34" spans="1:21" x14ac:dyDescent="0.2">
      <c r="A34" s="10"/>
      <c r="B34" s="7"/>
      <c r="C34" s="10"/>
      <c r="E34" s="4"/>
      <c r="F34" s="11"/>
      <c r="G34" s="11"/>
      <c r="H34" s="11"/>
      <c r="I34" s="12"/>
      <c r="J34" s="11"/>
      <c r="K34" s="11"/>
      <c r="L34" s="13"/>
    </row>
    <row r="35" spans="1:21" x14ac:dyDescent="0.2">
      <c r="A35" s="10"/>
      <c r="B35" s="7"/>
      <c r="C35" s="10"/>
      <c r="E35" s="4"/>
      <c r="F35" s="11"/>
      <c r="G35" s="11"/>
      <c r="H35" s="11"/>
      <c r="I35" s="12"/>
      <c r="J35" s="11"/>
      <c r="K35" s="11"/>
      <c r="L35" s="13"/>
    </row>
    <row r="36" spans="1:21" s="8" customFormat="1" x14ac:dyDescent="0.2">
      <c r="A36" s="10" t="s">
        <v>15</v>
      </c>
      <c r="B36" s="7" t="s">
        <v>14</v>
      </c>
      <c r="C36" s="10" t="s">
        <v>8</v>
      </c>
      <c r="D36" s="6">
        <f>D9</f>
        <v>800</v>
      </c>
      <c r="E36" s="4">
        <v>150</v>
      </c>
      <c r="F36" s="11">
        <f>E36*1.2</f>
        <v>180</v>
      </c>
      <c r="G36" s="11">
        <f>E36*1.3</f>
        <v>195</v>
      </c>
      <c r="H36" s="11">
        <f>E36*1.4</f>
        <v>210</v>
      </c>
      <c r="I36" s="12">
        <f>D36*E36</f>
        <v>120000</v>
      </c>
      <c r="J36" s="11">
        <f>D36*F36</f>
        <v>144000</v>
      </c>
      <c r="K36" s="11">
        <f>D36*G36</f>
        <v>156000</v>
      </c>
      <c r="L36" s="13">
        <f>D36*H36</f>
        <v>168000</v>
      </c>
      <c r="M36" s="6"/>
      <c r="N36" s="6"/>
      <c r="O36" s="6"/>
      <c r="P36" s="6"/>
      <c r="Q36" s="6"/>
      <c r="R36" s="6"/>
      <c r="S36" s="6"/>
      <c r="T36" s="6">
        <f>SUM(N36:S36)</f>
        <v>0</v>
      </c>
      <c r="U36" s="8" t="b">
        <f>IF(T36=D36,TRUE,FALSE)</f>
        <v>0</v>
      </c>
    </row>
    <row r="37" spans="1:21" s="8" customFormat="1" x14ac:dyDescent="0.2">
      <c r="A37" s="10" t="s">
        <v>13</v>
      </c>
      <c r="B37" s="7" t="s">
        <v>12</v>
      </c>
      <c r="C37" s="10" t="s">
        <v>9</v>
      </c>
      <c r="D37" s="6">
        <v>6</v>
      </c>
      <c r="E37" s="4">
        <v>250</v>
      </c>
      <c r="F37" s="11">
        <f>E37*1.2</f>
        <v>300</v>
      </c>
      <c r="G37" s="11">
        <f>E37*1.3</f>
        <v>325</v>
      </c>
      <c r="H37" s="11">
        <f>E37*1.4</f>
        <v>350</v>
      </c>
      <c r="I37" s="12">
        <f>D37*E37</f>
        <v>1500</v>
      </c>
      <c r="J37" s="11">
        <f>D37*F37</f>
        <v>1800</v>
      </c>
      <c r="K37" s="11">
        <f>D37*G37</f>
        <v>1950</v>
      </c>
      <c r="L37" s="13">
        <f>D37*H37</f>
        <v>2100</v>
      </c>
      <c r="M37" s="6"/>
      <c r="N37" s="6"/>
      <c r="O37" s="6"/>
      <c r="P37" s="6"/>
      <c r="Q37" s="6"/>
      <c r="R37" s="6"/>
      <c r="S37" s="6"/>
      <c r="T37" s="6">
        <f>SUM(N37:S37)</f>
        <v>0</v>
      </c>
      <c r="U37" s="8" t="b">
        <f>IF(T37=D37,TRUE,FALSE)</f>
        <v>0</v>
      </c>
    </row>
    <row r="38" spans="1:21" x14ac:dyDescent="0.2">
      <c r="A38" s="14"/>
      <c r="H38" s="6" t="s">
        <v>11</v>
      </c>
      <c r="J38" s="15"/>
      <c r="K38" s="15"/>
    </row>
    <row r="39" spans="1:21" x14ac:dyDescent="0.2">
      <c r="A39" s="14"/>
    </row>
  </sheetData>
  <conditionalFormatting sqref="U1:U1048576">
    <cfRule type="containsText" dxfId="3" priority="1" operator="containsText" text="TRUE">
      <formula>NOT(ISERROR(SEARCH("TRUE",U1)))</formula>
    </cfRule>
    <cfRule type="containsText" dxfId="2" priority="2" operator="containsText" text="FALSE">
      <formula>NOT(ISERROR(SEARCH("FALSE",U1)))</formula>
    </cfRule>
  </conditionalFormatting>
  <printOptions gridLines="1"/>
  <pageMargins left="0.7" right="0.7" top="0.75" bottom="0.75" header="0.3" footer="0.3"/>
  <pageSetup paperSize="5" scale="5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A6ED7-ECAB-4837-B149-E37D3B0348EC}">
  <sheetPr>
    <pageSetUpPr fitToPage="1"/>
  </sheetPr>
  <dimension ref="A1:X39"/>
  <sheetViews>
    <sheetView zoomScale="110" zoomScaleNormal="11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C17" sqref="C17"/>
    </sheetView>
  </sheetViews>
  <sheetFormatPr defaultRowHeight="14.25" outlineLevelCol="1" x14ac:dyDescent="0.2"/>
  <cols>
    <col min="1" max="1" width="8.85546875" style="6" customWidth="1"/>
    <col min="2" max="2" width="69" style="6" customWidth="1"/>
    <col min="3" max="3" width="4.42578125" style="6" bestFit="1" customWidth="1"/>
    <col min="4" max="4" width="9.28515625" style="6" bestFit="1" customWidth="1"/>
    <col min="5" max="5" width="12.85546875" style="6" bestFit="1" customWidth="1"/>
    <col min="6" max="8" width="11.5703125" style="6" hidden="1" customWidth="1" outlineLevel="1"/>
    <col min="9" max="9" width="10.5703125" style="6" bestFit="1" customWidth="1" collapsed="1"/>
    <col min="10" max="12" width="12.28515625" style="6" bestFit="1" customWidth="1"/>
    <col min="13" max="13" width="9.140625" style="6"/>
    <col min="14" max="21" width="8.85546875" style="6" customWidth="1"/>
    <col min="22" max="23" width="9.140625" style="6"/>
    <col min="24" max="24" width="24.7109375" style="6" bestFit="1" customWidth="1"/>
    <col min="25" max="16384" width="9.140625" style="6"/>
  </cols>
  <sheetData>
    <row r="1" spans="1:24" ht="43.5" thickBot="1" x14ac:dyDescent="0.25">
      <c r="A1" s="16" t="s">
        <v>43</v>
      </c>
      <c r="B1" s="17" t="s">
        <v>42</v>
      </c>
      <c r="C1" s="18" t="s">
        <v>41</v>
      </c>
      <c r="D1" s="19" t="s">
        <v>3</v>
      </c>
      <c r="E1" s="19" t="s">
        <v>40</v>
      </c>
      <c r="F1" s="20" t="s">
        <v>39</v>
      </c>
      <c r="G1" s="20" t="s">
        <v>38</v>
      </c>
      <c r="H1" s="21" t="s">
        <v>37</v>
      </c>
      <c r="I1" s="22" t="s">
        <v>36</v>
      </c>
      <c r="J1" s="23" t="s">
        <v>74</v>
      </c>
      <c r="K1" s="23" t="s">
        <v>75</v>
      </c>
      <c r="L1" s="24" t="s">
        <v>76</v>
      </c>
      <c r="N1" s="7" t="s">
        <v>35</v>
      </c>
      <c r="O1" s="7" t="s">
        <v>34</v>
      </c>
      <c r="P1" s="7" t="s">
        <v>33</v>
      </c>
      <c r="Q1" s="7" t="s">
        <v>32</v>
      </c>
      <c r="R1" s="7" t="s">
        <v>31</v>
      </c>
      <c r="S1" s="7" t="s">
        <v>30</v>
      </c>
      <c r="T1" s="7" t="s">
        <v>11</v>
      </c>
    </row>
    <row r="2" spans="1:24" x14ac:dyDescent="0.2">
      <c r="A2" s="10">
        <v>1</v>
      </c>
      <c r="B2" s="7" t="s">
        <v>86</v>
      </c>
      <c r="C2" s="10" t="s">
        <v>6</v>
      </c>
      <c r="D2" s="6">
        <v>1</v>
      </c>
      <c r="E2" s="25">
        <f>0.02*SUM(I4:I32)</f>
        <v>17634</v>
      </c>
      <c r="F2" s="11"/>
      <c r="G2" s="11"/>
      <c r="H2" s="11"/>
      <c r="I2" s="12">
        <f>D2*E2</f>
        <v>17634</v>
      </c>
      <c r="J2" s="11">
        <f>I2*1.25</f>
        <v>22042.5</v>
      </c>
      <c r="K2" s="11">
        <f>I2*1.3</f>
        <v>22924.2</v>
      </c>
      <c r="L2" s="13">
        <f>I2*1.4</f>
        <v>24687.599999999999</v>
      </c>
      <c r="W2" s="8"/>
      <c r="X2" s="6" t="s">
        <v>29</v>
      </c>
    </row>
    <row r="3" spans="1:24" x14ac:dyDescent="0.2">
      <c r="A3" s="10">
        <v>2</v>
      </c>
      <c r="B3" s="7" t="s">
        <v>85</v>
      </c>
      <c r="C3" s="10" t="s">
        <v>6</v>
      </c>
      <c r="D3" s="6">
        <v>1</v>
      </c>
      <c r="E3" s="3">
        <f>0.015*SUM(I4:I32)</f>
        <v>13225.5</v>
      </c>
      <c r="F3" s="11"/>
      <c r="G3" s="11"/>
      <c r="H3" s="11"/>
      <c r="I3" s="12">
        <f t="shared" ref="I3:I32" si="0">D3*E3</f>
        <v>13225.5</v>
      </c>
      <c r="J3" s="11">
        <f t="shared" ref="J3:J32" si="1">I3*1.25</f>
        <v>16531.875</v>
      </c>
      <c r="K3" s="11">
        <f>I3*1.3</f>
        <v>17193.150000000001</v>
      </c>
      <c r="L3" s="13">
        <f>I3*1.4</f>
        <v>18515.699999999997</v>
      </c>
    </row>
    <row r="4" spans="1:24" x14ac:dyDescent="0.2">
      <c r="A4" s="10">
        <v>3</v>
      </c>
      <c r="B4" s="7" t="s">
        <v>78</v>
      </c>
      <c r="C4" s="10" t="s">
        <v>6</v>
      </c>
      <c r="D4" s="6">
        <v>1</v>
      </c>
      <c r="E4" s="3">
        <v>2500</v>
      </c>
      <c r="F4" s="11"/>
      <c r="G4" s="11"/>
      <c r="H4" s="11"/>
      <c r="I4" s="12">
        <f t="shared" si="0"/>
        <v>2500</v>
      </c>
      <c r="J4" s="11">
        <f t="shared" si="1"/>
        <v>3125</v>
      </c>
      <c r="K4" s="11">
        <f>I4*1.3</f>
        <v>3250</v>
      </c>
      <c r="L4" s="13">
        <f>I4*1.4</f>
        <v>3500</v>
      </c>
    </row>
    <row r="5" spans="1:24" x14ac:dyDescent="0.2">
      <c r="A5" s="10">
        <v>4</v>
      </c>
      <c r="B5" s="7" t="s">
        <v>28</v>
      </c>
      <c r="C5" s="10" t="s">
        <v>6</v>
      </c>
      <c r="D5" s="6">
        <v>1</v>
      </c>
      <c r="E5" s="3">
        <v>20000</v>
      </c>
      <c r="F5" s="11">
        <f t="shared" ref="F5:F32" si="2">E5*1.2</f>
        <v>24000</v>
      </c>
      <c r="G5" s="11">
        <f t="shared" ref="G5:G32" si="3">E5*1.3</f>
        <v>26000</v>
      </c>
      <c r="H5" s="11">
        <f t="shared" ref="H5:H32" si="4">E5*1.4</f>
        <v>28000</v>
      </c>
      <c r="I5" s="12">
        <f t="shared" si="0"/>
        <v>20000</v>
      </c>
      <c r="J5" s="11">
        <f t="shared" si="1"/>
        <v>25000</v>
      </c>
      <c r="K5" s="11">
        <f>I5*1.3</f>
        <v>26000</v>
      </c>
      <c r="L5" s="13">
        <f>I5*1.4</f>
        <v>28000</v>
      </c>
    </row>
    <row r="6" spans="1:24" x14ac:dyDescent="0.2">
      <c r="A6" s="10">
        <v>5</v>
      </c>
      <c r="B6" s="7" t="s">
        <v>7</v>
      </c>
      <c r="C6" s="10" t="s">
        <v>6</v>
      </c>
      <c r="D6" s="6">
        <v>1</v>
      </c>
      <c r="E6" s="3">
        <v>20000</v>
      </c>
      <c r="F6" s="11">
        <f t="shared" si="2"/>
        <v>24000</v>
      </c>
      <c r="G6" s="11">
        <f t="shared" si="3"/>
        <v>26000</v>
      </c>
      <c r="H6" s="11">
        <f t="shared" si="4"/>
        <v>28000</v>
      </c>
      <c r="I6" s="12">
        <f t="shared" si="0"/>
        <v>20000</v>
      </c>
      <c r="J6" s="11">
        <f t="shared" si="1"/>
        <v>25000</v>
      </c>
      <c r="K6" s="11">
        <f t="shared" ref="K6:K7" si="5">I6*1.3</f>
        <v>26000</v>
      </c>
      <c r="L6" s="13">
        <f>I6*1.4</f>
        <v>28000</v>
      </c>
    </row>
    <row r="7" spans="1:24" x14ac:dyDescent="0.2">
      <c r="A7" s="10">
        <v>6</v>
      </c>
      <c r="B7" s="7" t="s">
        <v>27</v>
      </c>
      <c r="C7" s="10" t="s">
        <v>6</v>
      </c>
      <c r="D7" s="6">
        <v>1</v>
      </c>
      <c r="E7" s="3">
        <v>10000</v>
      </c>
      <c r="F7" s="11">
        <f t="shared" si="2"/>
        <v>12000</v>
      </c>
      <c r="G7" s="11">
        <f t="shared" si="3"/>
        <v>13000</v>
      </c>
      <c r="H7" s="11">
        <f t="shared" si="4"/>
        <v>14000</v>
      </c>
      <c r="I7" s="12">
        <f t="shared" si="0"/>
        <v>10000</v>
      </c>
      <c r="J7" s="11">
        <f t="shared" si="1"/>
        <v>12500</v>
      </c>
      <c r="K7" s="11">
        <f t="shared" si="5"/>
        <v>13000</v>
      </c>
      <c r="L7" s="13">
        <f t="shared" ref="L7:L32" si="6">D7*H7</f>
        <v>14000</v>
      </c>
    </row>
    <row r="8" spans="1:24" s="9" customFormat="1" x14ac:dyDescent="0.2">
      <c r="A8" s="10">
        <v>7</v>
      </c>
      <c r="B8" s="7" t="s">
        <v>91</v>
      </c>
      <c r="C8" s="10" t="s">
        <v>8</v>
      </c>
      <c r="D8" s="6">
        <f>ROUNDUP(T8,-2)</f>
        <v>1900</v>
      </c>
      <c r="E8" s="4">
        <v>75</v>
      </c>
      <c r="F8" s="11">
        <f t="shared" si="2"/>
        <v>90</v>
      </c>
      <c r="G8" s="11">
        <f t="shared" si="3"/>
        <v>97.5</v>
      </c>
      <c r="H8" s="11">
        <f t="shared" si="4"/>
        <v>105</v>
      </c>
      <c r="I8" s="12">
        <f t="shared" si="0"/>
        <v>142500</v>
      </c>
      <c r="J8" s="11">
        <f t="shared" si="1"/>
        <v>178125</v>
      </c>
      <c r="K8" s="11">
        <f t="shared" ref="K8:K32" si="7">D8*G8</f>
        <v>185250</v>
      </c>
      <c r="L8" s="13">
        <f t="shared" si="6"/>
        <v>199500</v>
      </c>
      <c r="M8" s="6"/>
      <c r="N8" s="52">
        <f>244+24+32</f>
        <v>300</v>
      </c>
      <c r="O8" s="52">
        <f>325</f>
        <v>325</v>
      </c>
      <c r="P8" s="52">
        <f>448</f>
        <v>448</v>
      </c>
      <c r="Q8" s="52">
        <f>71+239</f>
        <v>310</v>
      </c>
      <c r="R8" s="52">
        <f>447+7</f>
        <v>454</v>
      </c>
      <c r="S8" s="6">
        <f>42</f>
        <v>42</v>
      </c>
      <c r="T8" s="6">
        <f t="shared" ref="T8:T17" si="8">SUM(N8:S8)</f>
        <v>1879</v>
      </c>
      <c r="U8" s="9" t="b">
        <f t="shared" ref="U8:U17" si="9">IF(T8=D8,TRUE,FALSE)</f>
        <v>0</v>
      </c>
    </row>
    <row r="9" spans="1:24" s="9" customFormat="1" x14ac:dyDescent="0.2">
      <c r="A9" s="10">
        <v>8</v>
      </c>
      <c r="B9" s="7" t="s">
        <v>26</v>
      </c>
      <c r="C9" s="10" t="s">
        <v>8</v>
      </c>
      <c r="D9" s="6">
        <f>ROUNDUP(T9,-2)</f>
        <v>800</v>
      </c>
      <c r="E9" s="4">
        <v>120</v>
      </c>
      <c r="F9" s="11">
        <f t="shared" si="2"/>
        <v>144</v>
      </c>
      <c r="G9" s="11">
        <f t="shared" si="3"/>
        <v>156</v>
      </c>
      <c r="H9" s="11">
        <f t="shared" si="4"/>
        <v>168</v>
      </c>
      <c r="I9" s="12">
        <f t="shared" si="0"/>
        <v>96000</v>
      </c>
      <c r="J9" s="11">
        <f t="shared" si="1"/>
        <v>120000</v>
      </c>
      <c r="K9" s="11">
        <f t="shared" si="7"/>
        <v>124800</v>
      </c>
      <c r="L9" s="13">
        <f t="shared" si="6"/>
        <v>134400</v>
      </c>
      <c r="M9" s="6"/>
      <c r="N9" s="6"/>
      <c r="O9" s="52">
        <f>175</f>
        <v>175</v>
      </c>
      <c r="P9" s="52">
        <f>52</f>
        <v>52</v>
      </c>
      <c r="Q9" s="52">
        <f>190</f>
        <v>190</v>
      </c>
      <c r="R9" s="52">
        <f>46</f>
        <v>46</v>
      </c>
      <c r="S9" s="6">
        <f>321</f>
        <v>321</v>
      </c>
      <c r="T9" s="6">
        <f t="shared" si="8"/>
        <v>784</v>
      </c>
      <c r="U9" s="9" t="b">
        <f t="shared" si="9"/>
        <v>0</v>
      </c>
    </row>
    <row r="10" spans="1:24" s="9" customFormat="1" x14ac:dyDescent="0.2">
      <c r="A10" s="10">
        <v>9</v>
      </c>
      <c r="B10" s="7" t="s">
        <v>25</v>
      </c>
      <c r="C10" s="10" t="s">
        <v>8</v>
      </c>
      <c r="D10" s="6">
        <f>ROUNDUP(T10,-2)</f>
        <v>1100</v>
      </c>
      <c r="E10" s="4">
        <v>150</v>
      </c>
      <c r="F10" s="11">
        <f t="shared" si="2"/>
        <v>180</v>
      </c>
      <c r="G10" s="11">
        <f t="shared" si="3"/>
        <v>195</v>
      </c>
      <c r="H10" s="11">
        <f t="shared" si="4"/>
        <v>210</v>
      </c>
      <c r="I10" s="12">
        <f t="shared" si="0"/>
        <v>165000</v>
      </c>
      <c r="J10" s="11">
        <f t="shared" si="1"/>
        <v>206250</v>
      </c>
      <c r="K10" s="11">
        <f t="shared" si="7"/>
        <v>214500</v>
      </c>
      <c r="L10" s="13">
        <f t="shared" si="6"/>
        <v>231000</v>
      </c>
      <c r="M10" s="6"/>
      <c r="N10" s="6"/>
      <c r="O10" s="6"/>
      <c r="P10" s="52">
        <f>246</f>
        <v>246</v>
      </c>
      <c r="Q10" s="52">
        <f>71+239</f>
        <v>310</v>
      </c>
      <c r="R10" s="52">
        <f>443+11</f>
        <v>454</v>
      </c>
      <c r="S10" s="6">
        <f>34</f>
        <v>34</v>
      </c>
      <c r="T10" s="6">
        <f t="shared" si="8"/>
        <v>1044</v>
      </c>
      <c r="U10" s="9" t="b">
        <f t="shared" si="9"/>
        <v>0</v>
      </c>
    </row>
    <row r="11" spans="1:24" x14ac:dyDescent="0.2">
      <c r="A11" s="10">
        <v>10</v>
      </c>
      <c r="B11" s="7" t="s">
        <v>24</v>
      </c>
      <c r="C11" s="10" t="s">
        <v>8</v>
      </c>
      <c r="D11" s="6">
        <f>ROUNDUP(T11,-2)</f>
        <v>600</v>
      </c>
      <c r="E11" s="3">
        <v>250</v>
      </c>
      <c r="F11" s="11">
        <f t="shared" si="2"/>
        <v>300</v>
      </c>
      <c r="G11" s="11">
        <f t="shared" si="3"/>
        <v>325</v>
      </c>
      <c r="H11" s="11">
        <f t="shared" si="4"/>
        <v>350</v>
      </c>
      <c r="I11" s="12">
        <f t="shared" si="0"/>
        <v>150000</v>
      </c>
      <c r="J11" s="11">
        <f t="shared" si="1"/>
        <v>187500</v>
      </c>
      <c r="K11" s="11">
        <f t="shared" si="7"/>
        <v>195000</v>
      </c>
      <c r="L11" s="13">
        <f t="shared" si="6"/>
        <v>210000</v>
      </c>
      <c r="Q11" s="52">
        <f>190</f>
        <v>190</v>
      </c>
      <c r="R11" s="52">
        <f>46</f>
        <v>46</v>
      </c>
      <c r="S11" s="6">
        <f>321</f>
        <v>321</v>
      </c>
      <c r="T11" s="6">
        <f t="shared" si="8"/>
        <v>557</v>
      </c>
      <c r="U11" s="6" t="b">
        <f t="shared" si="9"/>
        <v>0</v>
      </c>
    </row>
    <row r="12" spans="1:24" x14ac:dyDescent="0.2">
      <c r="A12" s="10">
        <v>11</v>
      </c>
      <c r="B12" s="7" t="s">
        <v>81</v>
      </c>
      <c r="C12" s="10" t="s">
        <v>6</v>
      </c>
      <c r="D12" s="6">
        <f>1</f>
        <v>1</v>
      </c>
      <c r="E12" s="4">
        <v>12500</v>
      </c>
      <c r="F12" s="11">
        <f t="shared" si="2"/>
        <v>15000</v>
      </c>
      <c r="G12" s="11">
        <f t="shared" si="3"/>
        <v>16250</v>
      </c>
      <c r="H12" s="11">
        <f t="shared" si="4"/>
        <v>17500</v>
      </c>
      <c r="I12" s="12">
        <f t="shared" si="0"/>
        <v>12500</v>
      </c>
      <c r="J12" s="11">
        <f t="shared" si="1"/>
        <v>15625</v>
      </c>
      <c r="K12" s="11">
        <f t="shared" si="7"/>
        <v>16250</v>
      </c>
      <c r="L12" s="13">
        <f t="shared" si="6"/>
        <v>17500</v>
      </c>
      <c r="P12" s="6">
        <f>1</f>
        <v>1</v>
      </c>
      <c r="T12" s="6">
        <f t="shared" si="8"/>
        <v>1</v>
      </c>
      <c r="U12" s="6" t="b">
        <f t="shared" si="9"/>
        <v>1</v>
      </c>
    </row>
    <row r="13" spans="1:24" s="9" customFormat="1" x14ac:dyDescent="0.2">
      <c r="A13" s="10">
        <v>12</v>
      </c>
      <c r="B13" s="7" t="s">
        <v>72</v>
      </c>
      <c r="C13" s="10" t="s">
        <v>9</v>
      </c>
      <c r="D13" s="6">
        <f>1+1+1+1+1+1+1</f>
        <v>7</v>
      </c>
      <c r="E13" s="4">
        <v>4000</v>
      </c>
      <c r="F13" s="11">
        <f t="shared" si="2"/>
        <v>4800</v>
      </c>
      <c r="G13" s="11">
        <f t="shared" si="3"/>
        <v>5200</v>
      </c>
      <c r="H13" s="11">
        <f t="shared" si="4"/>
        <v>5600</v>
      </c>
      <c r="I13" s="12">
        <f t="shared" si="0"/>
        <v>28000</v>
      </c>
      <c r="J13" s="11">
        <f t="shared" si="1"/>
        <v>35000</v>
      </c>
      <c r="K13" s="11">
        <f t="shared" si="7"/>
        <v>36400</v>
      </c>
      <c r="L13" s="13">
        <f t="shared" si="6"/>
        <v>39200</v>
      </c>
      <c r="M13" s="6"/>
      <c r="N13" s="6"/>
      <c r="O13" s="6">
        <f>1+1</f>
        <v>2</v>
      </c>
      <c r="P13" s="6">
        <f>1+1</f>
        <v>2</v>
      </c>
      <c r="Q13" s="6"/>
      <c r="R13" s="6">
        <f>1+1</f>
        <v>2</v>
      </c>
      <c r="S13" s="6">
        <f>1</f>
        <v>1</v>
      </c>
      <c r="T13" s="6">
        <f t="shared" si="8"/>
        <v>7</v>
      </c>
      <c r="U13" s="9" t="b">
        <f t="shared" si="9"/>
        <v>1</v>
      </c>
    </row>
    <row r="14" spans="1:24" x14ac:dyDescent="0.2">
      <c r="A14" s="10">
        <v>13</v>
      </c>
      <c r="B14" s="7" t="s">
        <v>73</v>
      </c>
      <c r="C14" s="10" t="s">
        <v>9</v>
      </c>
      <c r="D14" s="6">
        <f>1+1+1</f>
        <v>3</v>
      </c>
      <c r="E14" s="4">
        <v>6000</v>
      </c>
      <c r="F14" s="11">
        <f t="shared" si="2"/>
        <v>7200</v>
      </c>
      <c r="G14" s="11">
        <f t="shared" si="3"/>
        <v>7800</v>
      </c>
      <c r="H14" s="11">
        <f t="shared" si="4"/>
        <v>8400</v>
      </c>
      <c r="I14" s="12">
        <f t="shared" si="0"/>
        <v>18000</v>
      </c>
      <c r="J14" s="11">
        <f t="shared" si="1"/>
        <v>22500</v>
      </c>
      <c r="K14" s="11">
        <f t="shared" si="7"/>
        <v>23400</v>
      </c>
      <c r="L14" s="13">
        <f t="shared" si="6"/>
        <v>25200</v>
      </c>
      <c r="R14" s="6">
        <f>1+1</f>
        <v>2</v>
      </c>
      <c r="S14" s="6">
        <f>1</f>
        <v>1</v>
      </c>
      <c r="T14" s="6">
        <f t="shared" si="8"/>
        <v>3</v>
      </c>
      <c r="U14" s="6" t="b">
        <f t="shared" si="9"/>
        <v>1</v>
      </c>
    </row>
    <row r="15" spans="1:24" s="9" customFormat="1" x14ac:dyDescent="0.2">
      <c r="A15" s="10">
        <v>14</v>
      </c>
      <c r="B15" s="7" t="s">
        <v>92</v>
      </c>
      <c r="C15" s="10" t="s">
        <v>8</v>
      </c>
      <c r="D15" s="6">
        <v>20</v>
      </c>
      <c r="E15" s="4">
        <v>50</v>
      </c>
      <c r="F15" s="11">
        <f t="shared" si="2"/>
        <v>60</v>
      </c>
      <c r="G15" s="11">
        <f t="shared" si="3"/>
        <v>65</v>
      </c>
      <c r="H15" s="11">
        <f t="shared" si="4"/>
        <v>70</v>
      </c>
      <c r="I15" s="12">
        <f t="shared" si="0"/>
        <v>1000</v>
      </c>
      <c r="J15" s="11">
        <f t="shared" si="1"/>
        <v>1250</v>
      </c>
      <c r="K15" s="11">
        <f t="shared" si="7"/>
        <v>1300</v>
      </c>
      <c r="L15" s="13">
        <f t="shared" si="6"/>
        <v>1400</v>
      </c>
      <c r="M15" s="6"/>
      <c r="N15" s="6"/>
      <c r="O15" s="6"/>
      <c r="P15" s="6"/>
      <c r="Q15" s="6"/>
      <c r="R15" s="6"/>
      <c r="S15" s="6">
        <f>10</f>
        <v>10</v>
      </c>
      <c r="T15" s="6">
        <f t="shared" si="8"/>
        <v>10</v>
      </c>
      <c r="U15" s="9" t="b">
        <f t="shared" si="9"/>
        <v>0</v>
      </c>
    </row>
    <row r="16" spans="1:24" s="9" customFormat="1" x14ac:dyDescent="0.2">
      <c r="A16" s="10">
        <v>15</v>
      </c>
      <c r="B16" s="6" t="s">
        <v>79</v>
      </c>
      <c r="C16" s="10" t="s">
        <v>9</v>
      </c>
      <c r="D16" s="6">
        <v>1</v>
      </c>
      <c r="E16" s="4">
        <v>5000</v>
      </c>
      <c r="F16" s="11">
        <f t="shared" si="2"/>
        <v>6000</v>
      </c>
      <c r="G16" s="11">
        <f t="shared" si="3"/>
        <v>6500</v>
      </c>
      <c r="H16" s="11">
        <f t="shared" si="4"/>
        <v>7000</v>
      </c>
      <c r="I16" s="12">
        <f t="shared" si="0"/>
        <v>5000</v>
      </c>
      <c r="J16" s="11">
        <f t="shared" si="1"/>
        <v>6250</v>
      </c>
      <c r="K16" s="11">
        <f t="shared" si="7"/>
        <v>6500</v>
      </c>
      <c r="L16" s="13">
        <f t="shared" si="6"/>
        <v>7000</v>
      </c>
      <c r="M16" s="6"/>
      <c r="N16" s="6"/>
      <c r="O16" s="6"/>
      <c r="P16" s="6"/>
      <c r="Q16" s="6"/>
      <c r="R16" s="6"/>
      <c r="S16" s="6">
        <f>1</f>
        <v>1</v>
      </c>
      <c r="T16" s="6">
        <f t="shared" si="8"/>
        <v>1</v>
      </c>
      <c r="U16" s="9" t="b">
        <f t="shared" si="9"/>
        <v>1</v>
      </c>
    </row>
    <row r="17" spans="1:21" x14ac:dyDescent="0.2">
      <c r="A17" s="10">
        <v>16</v>
      </c>
      <c r="B17" s="7" t="s">
        <v>23</v>
      </c>
      <c r="C17" s="10" t="s">
        <v>22</v>
      </c>
      <c r="D17" s="6">
        <f>ROUNDUP('Fittings #'!E20,-2)</f>
        <v>5000</v>
      </c>
      <c r="E17" s="4">
        <v>5</v>
      </c>
      <c r="F17" s="11">
        <f t="shared" si="2"/>
        <v>6</v>
      </c>
      <c r="G17" s="11">
        <f t="shared" si="3"/>
        <v>6.5</v>
      </c>
      <c r="H17" s="11">
        <f t="shared" si="4"/>
        <v>7</v>
      </c>
      <c r="I17" s="12">
        <f t="shared" si="0"/>
        <v>25000</v>
      </c>
      <c r="J17" s="11">
        <f t="shared" si="1"/>
        <v>31250</v>
      </c>
      <c r="K17" s="11">
        <f t="shared" si="7"/>
        <v>32500</v>
      </c>
      <c r="L17" s="13">
        <f t="shared" si="6"/>
        <v>35000</v>
      </c>
      <c r="N17" s="6">
        <f>1+1+1</f>
        <v>3</v>
      </c>
      <c r="P17" s="6">
        <f>2</f>
        <v>2</v>
      </c>
      <c r="Q17" s="6">
        <f>1</f>
        <v>1</v>
      </c>
      <c r="R17" s="6">
        <f>1</f>
        <v>1</v>
      </c>
      <c r="T17" s="6">
        <f t="shared" si="8"/>
        <v>7</v>
      </c>
      <c r="U17" s="6" t="b">
        <f t="shared" si="9"/>
        <v>0</v>
      </c>
    </row>
    <row r="18" spans="1:21" x14ac:dyDescent="0.2">
      <c r="A18" s="10">
        <v>17</v>
      </c>
      <c r="B18" s="7" t="s">
        <v>82</v>
      </c>
      <c r="C18" s="10" t="s">
        <v>22</v>
      </c>
      <c r="D18" s="6">
        <f>ROUNDUP('Fittings #'!H20,-2)</f>
        <v>3200</v>
      </c>
      <c r="E18" s="4">
        <v>7.5</v>
      </c>
      <c r="F18" s="11">
        <f t="shared" si="2"/>
        <v>9</v>
      </c>
      <c r="G18" s="11">
        <f t="shared" si="3"/>
        <v>9.75</v>
      </c>
      <c r="H18" s="11">
        <f t="shared" si="4"/>
        <v>10.5</v>
      </c>
      <c r="I18" s="12">
        <f t="shared" si="0"/>
        <v>24000</v>
      </c>
      <c r="J18" s="11">
        <f t="shared" si="1"/>
        <v>30000</v>
      </c>
      <c r="K18" s="11">
        <f t="shared" si="7"/>
        <v>31200</v>
      </c>
      <c r="L18" s="13">
        <f t="shared" si="6"/>
        <v>33600</v>
      </c>
    </row>
    <row r="19" spans="1:21" x14ac:dyDescent="0.2">
      <c r="A19" s="10">
        <v>18</v>
      </c>
      <c r="B19" s="7" t="s">
        <v>83</v>
      </c>
      <c r="C19" s="10" t="s">
        <v>6</v>
      </c>
      <c r="D19" s="6">
        <f>ROUNDUP('Fittings #'!H26,-2)</f>
        <v>2000</v>
      </c>
      <c r="E19" s="4">
        <v>7.5</v>
      </c>
      <c r="F19" s="11">
        <f t="shared" si="2"/>
        <v>9</v>
      </c>
      <c r="G19" s="11">
        <f t="shared" si="3"/>
        <v>9.75</v>
      </c>
      <c r="H19" s="11">
        <f t="shared" si="4"/>
        <v>10.5</v>
      </c>
      <c r="I19" s="12">
        <f t="shared" si="0"/>
        <v>15000</v>
      </c>
      <c r="J19" s="11">
        <f t="shared" si="1"/>
        <v>18750</v>
      </c>
      <c r="K19" s="11">
        <f t="shared" si="7"/>
        <v>19500</v>
      </c>
      <c r="L19" s="13">
        <f t="shared" si="6"/>
        <v>21000</v>
      </c>
    </row>
    <row r="20" spans="1:21" x14ac:dyDescent="0.2">
      <c r="A20" s="10">
        <v>19</v>
      </c>
      <c r="B20" s="7" t="s">
        <v>71</v>
      </c>
      <c r="C20" s="10" t="s">
        <v>8</v>
      </c>
      <c r="D20" s="6">
        <f>D8+D10+D15</f>
        <v>3020</v>
      </c>
      <c r="E20" s="3">
        <v>15</v>
      </c>
      <c r="F20" s="11">
        <f t="shared" si="2"/>
        <v>18</v>
      </c>
      <c r="G20" s="11">
        <f t="shared" si="3"/>
        <v>19.5</v>
      </c>
      <c r="H20" s="11">
        <f t="shared" si="4"/>
        <v>21</v>
      </c>
      <c r="I20" s="12">
        <f t="shared" si="0"/>
        <v>45300</v>
      </c>
      <c r="J20" s="11">
        <f t="shared" si="1"/>
        <v>56625</v>
      </c>
      <c r="K20" s="11">
        <f t="shared" si="7"/>
        <v>58890</v>
      </c>
      <c r="L20" s="13">
        <f t="shared" si="6"/>
        <v>63420</v>
      </c>
    </row>
    <row r="21" spans="1:21" s="9" customFormat="1" x14ac:dyDescent="0.2">
      <c r="A21" s="10">
        <v>20</v>
      </c>
      <c r="B21" s="7" t="s">
        <v>21</v>
      </c>
      <c r="C21" s="10" t="s">
        <v>6</v>
      </c>
      <c r="D21" s="6">
        <v>1</v>
      </c>
      <c r="E21" s="4">
        <v>5000</v>
      </c>
      <c r="F21" s="11">
        <f t="shared" si="2"/>
        <v>6000</v>
      </c>
      <c r="G21" s="11">
        <f t="shared" si="3"/>
        <v>6500</v>
      </c>
      <c r="H21" s="11">
        <f t="shared" si="4"/>
        <v>7000</v>
      </c>
      <c r="I21" s="12">
        <f t="shared" si="0"/>
        <v>5000</v>
      </c>
      <c r="J21" s="11">
        <f t="shared" si="1"/>
        <v>6250</v>
      </c>
      <c r="K21" s="11">
        <f t="shared" si="7"/>
        <v>6500</v>
      </c>
      <c r="L21" s="13">
        <f t="shared" si="6"/>
        <v>7000</v>
      </c>
      <c r="M21" s="6"/>
      <c r="N21" s="6">
        <v>1</v>
      </c>
      <c r="O21" s="6"/>
      <c r="P21" s="6"/>
      <c r="Q21" s="6"/>
      <c r="R21" s="6"/>
      <c r="S21" s="6"/>
      <c r="T21" s="6">
        <f>SUM(N21:S21)</f>
        <v>1</v>
      </c>
      <c r="U21" s="9" t="b">
        <f>IF(T21=D21,TRUE,FALSE)</f>
        <v>1</v>
      </c>
    </row>
    <row r="22" spans="1:21" x14ac:dyDescent="0.2">
      <c r="A22" s="10">
        <v>21</v>
      </c>
      <c r="B22" s="7" t="s">
        <v>20</v>
      </c>
      <c r="C22" s="10" t="s">
        <v>9</v>
      </c>
      <c r="D22" s="6">
        <f>T22</f>
        <v>1</v>
      </c>
      <c r="E22" s="4">
        <v>7500</v>
      </c>
      <c r="F22" s="11">
        <f t="shared" si="2"/>
        <v>9000</v>
      </c>
      <c r="G22" s="11">
        <f t="shared" si="3"/>
        <v>9750</v>
      </c>
      <c r="H22" s="11">
        <f t="shared" si="4"/>
        <v>10500</v>
      </c>
      <c r="I22" s="12">
        <f t="shared" si="0"/>
        <v>7500</v>
      </c>
      <c r="J22" s="11">
        <f t="shared" si="1"/>
        <v>9375</v>
      </c>
      <c r="K22" s="11">
        <f t="shared" si="7"/>
        <v>9750</v>
      </c>
      <c r="L22" s="13">
        <f t="shared" si="6"/>
        <v>10500</v>
      </c>
      <c r="S22" s="6">
        <f>1</f>
        <v>1</v>
      </c>
      <c r="T22" s="6">
        <f>SUM(N22:S22)</f>
        <v>1</v>
      </c>
      <c r="U22" s="6" t="b">
        <f>IF(T22=D22,TRUE,FALSE)</f>
        <v>1</v>
      </c>
    </row>
    <row r="23" spans="1:21" s="9" customFormat="1" x14ac:dyDescent="0.2">
      <c r="A23" s="10">
        <v>22</v>
      </c>
      <c r="B23" s="7" t="s">
        <v>70</v>
      </c>
      <c r="C23" s="10" t="s">
        <v>9</v>
      </c>
      <c r="D23" s="6">
        <f>T23</f>
        <v>4</v>
      </c>
      <c r="E23" s="4">
        <v>10000</v>
      </c>
      <c r="F23" s="11">
        <f t="shared" si="2"/>
        <v>12000</v>
      </c>
      <c r="G23" s="11">
        <f t="shared" si="3"/>
        <v>13000</v>
      </c>
      <c r="H23" s="11">
        <f t="shared" si="4"/>
        <v>14000</v>
      </c>
      <c r="I23" s="12">
        <f t="shared" si="0"/>
        <v>40000</v>
      </c>
      <c r="J23" s="11">
        <f t="shared" si="1"/>
        <v>50000</v>
      </c>
      <c r="K23" s="11">
        <f t="shared" si="7"/>
        <v>52000</v>
      </c>
      <c r="L23" s="13">
        <f t="shared" si="6"/>
        <v>56000</v>
      </c>
      <c r="M23" s="6"/>
      <c r="N23" s="6"/>
      <c r="O23" s="6">
        <f>1</f>
        <v>1</v>
      </c>
      <c r="P23" s="6"/>
      <c r="Q23" s="6">
        <v>2</v>
      </c>
      <c r="R23" s="6">
        <f>1</f>
        <v>1</v>
      </c>
      <c r="S23" s="6"/>
      <c r="T23" s="6">
        <f>SUM(N23:S23)</f>
        <v>4</v>
      </c>
    </row>
    <row r="24" spans="1:21" s="9" customFormat="1" x14ac:dyDescent="0.2">
      <c r="A24" s="10">
        <v>23</v>
      </c>
      <c r="B24" s="7" t="s">
        <v>80</v>
      </c>
      <c r="C24" s="10" t="s">
        <v>9</v>
      </c>
      <c r="D24" s="6">
        <v>2</v>
      </c>
      <c r="E24" s="4">
        <v>2500</v>
      </c>
      <c r="F24" s="11">
        <f t="shared" si="2"/>
        <v>3000</v>
      </c>
      <c r="G24" s="11">
        <f t="shared" si="3"/>
        <v>3250</v>
      </c>
      <c r="H24" s="11">
        <f t="shared" si="4"/>
        <v>3500</v>
      </c>
      <c r="I24" s="12">
        <f t="shared" si="0"/>
        <v>5000</v>
      </c>
      <c r="J24" s="11">
        <f t="shared" si="1"/>
        <v>6250</v>
      </c>
      <c r="K24" s="11">
        <f t="shared" si="7"/>
        <v>6500</v>
      </c>
      <c r="L24" s="13">
        <f t="shared" si="6"/>
        <v>7000</v>
      </c>
      <c r="M24" s="6"/>
      <c r="N24" s="6"/>
      <c r="O24" s="6"/>
      <c r="P24" s="6"/>
      <c r="Q24" s="6"/>
      <c r="R24" s="6"/>
      <c r="S24" s="6"/>
      <c r="T24" s="6"/>
    </row>
    <row r="25" spans="1:21" ht="15" x14ac:dyDescent="0.25">
      <c r="A25" s="10">
        <v>24</v>
      </c>
      <c r="B25" s="7" t="s">
        <v>90</v>
      </c>
      <c r="C25" s="10" t="s">
        <v>6</v>
      </c>
      <c r="D25" s="6">
        <v>1</v>
      </c>
      <c r="E25" s="4">
        <v>2500</v>
      </c>
      <c r="F25" s="11">
        <f t="shared" si="2"/>
        <v>3000</v>
      </c>
      <c r="G25" s="11">
        <f t="shared" si="3"/>
        <v>3250</v>
      </c>
      <c r="H25" s="11">
        <f t="shared" si="4"/>
        <v>3500</v>
      </c>
      <c r="I25" s="12">
        <f t="shared" si="0"/>
        <v>2500</v>
      </c>
      <c r="J25" s="11">
        <f t="shared" si="1"/>
        <v>3125</v>
      </c>
      <c r="K25" s="11">
        <f t="shared" si="7"/>
        <v>3250</v>
      </c>
      <c r="L25" s="13">
        <f t="shared" si="6"/>
        <v>3500</v>
      </c>
    </row>
    <row r="26" spans="1:21" x14ac:dyDescent="0.2">
      <c r="A26" s="10">
        <v>25</v>
      </c>
      <c r="B26" s="7" t="s">
        <v>89</v>
      </c>
      <c r="C26" s="10" t="s">
        <v>19</v>
      </c>
      <c r="D26" s="6">
        <f>ROUNDUP(T26,-1)</f>
        <v>720</v>
      </c>
      <c r="E26" s="4">
        <v>10</v>
      </c>
      <c r="F26" s="11">
        <f t="shared" si="2"/>
        <v>12</v>
      </c>
      <c r="G26" s="11">
        <f t="shared" si="3"/>
        <v>13</v>
      </c>
      <c r="H26" s="11">
        <f t="shared" si="4"/>
        <v>14</v>
      </c>
      <c r="I26" s="12">
        <f t="shared" si="0"/>
        <v>7200</v>
      </c>
      <c r="J26" s="11">
        <f t="shared" si="1"/>
        <v>9000</v>
      </c>
      <c r="K26" s="11">
        <f t="shared" si="7"/>
        <v>9360</v>
      </c>
      <c r="L26" s="13">
        <f t="shared" si="6"/>
        <v>10080</v>
      </c>
      <c r="O26" s="6">
        <f>80+65+94</f>
        <v>239</v>
      </c>
      <c r="P26" s="6">
        <f>119+105+257</f>
        <v>481</v>
      </c>
      <c r="T26" s="6">
        <f>SUM(N26:S26)</f>
        <v>720</v>
      </c>
      <c r="U26" s="6" t="b">
        <f>IF(T26=D26,TRUE,FALSE)</f>
        <v>1</v>
      </c>
    </row>
    <row r="27" spans="1:21" x14ac:dyDescent="0.2">
      <c r="A27" s="10">
        <v>26</v>
      </c>
      <c r="B27" s="7" t="s">
        <v>18</v>
      </c>
      <c r="C27" s="10" t="s">
        <v>10</v>
      </c>
      <c r="D27" s="6">
        <f>ROUNDUP(T27/9,-1)</f>
        <v>120</v>
      </c>
      <c r="E27" s="4">
        <v>22.5</v>
      </c>
      <c r="F27" s="11">
        <f t="shared" si="2"/>
        <v>27</v>
      </c>
      <c r="G27" s="11">
        <f t="shared" si="3"/>
        <v>29.25</v>
      </c>
      <c r="H27" s="11">
        <f t="shared" si="4"/>
        <v>31.499999999999996</v>
      </c>
      <c r="I27" s="12">
        <f t="shared" si="0"/>
        <v>2700</v>
      </c>
      <c r="J27" s="11">
        <f t="shared" si="1"/>
        <v>3375</v>
      </c>
      <c r="K27" s="11">
        <f t="shared" si="7"/>
        <v>3510</v>
      </c>
      <c r="L27" s="13">
        <f t="shared" si="6"/>
        <v>3779.9999999999995</v>
      </c>
      <c r="N27" s="6">
        <f>42*25</f>
        <v>1050</v>
      </c>
      <c r="T27" s="6">
        <f>SUM(N27:S27)</f>
        <v>1050</v>
      </c>
      <c r="U27" s="6" t="b">
        <f>IF(T27=D27,TRUE,FALSE)</f>
        <v>0</v>
      </c>
    </row>
    <row r="28" spans="1:21" x14ac:dyDescent="0.2">
      <c r="A28" s="10">
        <v>27</v>
      </c>
      <c r="B28" s="7" t="s">
        <v>17</v>
      </c>
      <c r="C28" s="10" t="s">
        <v>10</v>
      </c>
      <c r="D28" s="6">
        <f>ROUNDUP(T28/9,-3)</f>
        <v>2000</v>
      </c>
      <c r="E28" s="4">
        <v>0.5</v>
      </c>
      <c r="F28" s="11">
        <f t="shared" si="2"/>
        <v>0.6</v>
      </c>
      <c r="G28" s="11">
        <f t="shared" si="3"/>
        <v>0.65</v>
      </c>
      <c r="H28" s="11">
        <f t="shared" si="4"/>
        <v>0.7</v>
      </c>
      <c r="I28" s="12">
        <f t="shared" si="0"/>
        <v>1000</v>
      </c>
      <c r="J28" s="11">
        <f t="shared" si="1"/>
        <v>1250</v>
      </c>
      <c r="K28" s="11">
        <f t="shared" si="7"/>
        <v>1300</v>
      </c>
      <c r="L28" s="13">
        <f t="shared" si="6"/>
        <v>1400</v>
      </c>
      <c r="N28" s="6">
        <f>4.5*N8+5*N10</f>
        <v>1350</v>
      </c>
      <c r="O28" s="6">
        <f t="shared" ref="O28:S28" si="10">4.5*O8+5*O10</f>
        <v>1462.5</v>
      </c>
      <c r="P28" s="6">
        <f t="shared" si="10"/>
        <v>3246</v>
      </c>
      <c r="Q28" s="6">
        <f t="shared" si="10"/>
        <v>2945</v>
      </c>
      <c r="R28" s="6">
        <f t="shared" si="10"/>
        <v>4313</v>
      </c>
      <c r="S28" s="6">
        <f t="shared" si="10"/>
        <v>359</v>
      </c>
      <c r="T28" s="6">
        <f>SUM(N28:S28)</f>
        <v>13675.5</v>
      </c>
      <c r="U28" s="6" t="b">
        <f>IF(T28=D28,TRUE,FALSE)</f>
        <v>0</v>
      </c>
    </row>
    <row r="29" spans="1:21" s="9" customFormat="1" x14ac:dyDescent="0.2">
      <c r="A29" s="10">
        <v>28</v>
      </c>
      <c r="B29" s="7" t="s">
        <v>84</v>
      </c>
      <c r="C29" s="10" t="s">
        <v>6</v>
      </c>
      <c r="D29" s="6">
        <v>1</v>
      </c>
      <c r="E29" s="5">
        <v>1000</v>
      </c>
      <c r="F29" s="11">
        <f t="shared" si="2"/>
        <v>1200</v>
      </c>
      <c r="G29" s="11">
        <f t="shared" si="3"/>
        <v>1300</v>
      </c>
      <c r="H29" s="11">
        <f t="shared" si="4"/>
        <v>1400</v>
      </c>
      <c r="I29" s="12">
        <f t="shared" si="0"/>
        <v>1000</v>
      </c>
      <c r="J29" s="11">
        <f t="shared" si="1"/>
        <v>1250</v>
      </c>
      <c r="K29" s="11">
        <f t="shared" si="7"/>
        <v>1300</v>
      </c>
      <c r="L29" s="13">
        <f t="shared" si="6"/>
        <v>1400</v>
      </c>
      <c r="M29" s="6"/>
      <c r="N29" s="6">
        <v>1</v>
      </c>
      <c r="O29" s="6"/>
      <c r="P29" s="6"/>
      <c r="Q29" s="6"/>
      <c r="R29" s="6"/>
      <c r="S29" s="6"/>
      <c r="T29" s="6">
        <f>SUM(N29:S29)</f>
        <v>1</v>
      </c>
      <c r="U29" s="9" t="b">
        <f>IF(T29=D29,TRUE,FALSE)</f>
        <v>1</v>
      </c>
    </row>
    <row r="30" spans="1:21" s="9" customFormat="1" x14ac:dyDescent="0.2">
      <c r="A30" s="10">
        <v>29</v>
      </c>
      <c r="B30" s="7" t="s">
        <v>87</v>
      </c>
      <c r="C30" s="10" t="s">
        <v>6</v>
      </c>
      <c r="D30" s="6">
        <v>1</v>
      </c>
      <c r="E30" s="5">
        <v>20000</v>
      </c>
      <c r="F30" s="11">
        <f t="shared" si="2"/>
        <v>24000</v>
      </c>
      <c r="G30" s="11">
        <f t="shared" si="3"/>
        <v>26000</v>
      </c>
      <c r="H30" s="11">
        <f t="shared" si="4"/>
        <v>28000</v>
      </c>
      <c r="I30" s="12">
        <f t="shared" si="0"/>
        <v>20000</v>
      </c>
      <c r="J30" s="11">
        <f t="shared" si="1"/>
        <v>25000</v>
      </c>
      <c r="K30" s="11">
        <f t="shared" si="7"/>
        <v>26000</v>
      </c>
      <c r="L30" s="13">
        <f t="shared" si="6"/>
        <v>28000</v>
      </c>
      <c r="M30" s="6"/>
      <c r="N30" s="6"/>
      <c r="O30" s="6"/>
      <c r="P30" s="6"/>
      <c r="Q30" s="6"/>
      <c r="R30" s="6"/>
      <c r="S30" s="6"/>
      <c r="T30" s="6"/>
    </row>
    <row r="31" spans="1:21" s="9" customFormat="1" x14ac:dyDescent="0.2">
      <c r="A31" s="10">
        <v>30</v>
      </c>
      <c r="B31" s="7" t="s">
        <v>88</v>
      </c>
      <c r="C31" s="10" t="s">
        <v>6</v>
      </c>
      <c r="D31" s="6">
        <v>1</v>
      </c>
      <c r="E31" s="5">
        <v>7500</v>
      </c>
      <c r="F31" s="11">
        <f t="shared" si="2"/>
        <v>9000</v>
      </c>
      <c r="G31" s="11">
        <f t="shared" si="3"/>
        <v>9750</v>
      </c>
      <c r="H31" s="11">
        <f t="shared" si="4"/>
        <v>10500</v>
      </c>
      <c r="I31" s="12">
        <f t="shared" si="0"/>
        <v>7500</v>
      </c>
      <c r="J31" s="11">
        <f t="shared" si="1"/>
        <v>9375</v>
      </c>
      <c r="K31" s="11">
        <f t="shared" si="7"/>
        <v>9750</v>
      </c>
      <c r="L31" s="13">
        <f t="shared" si="6"/>
        <v>10500</v>
      </c>
      <c r="M31" s="6"/>
      <c r="N31" s="6"/>
      <c r="O31" s="6"/>
      <c r="P31" s="6"/>
      <c r="Q31" s="6"/>
      <c r="R31" s="6"/>
      <c r="S31" s="6"/>
      <c r="T31" s="6"/>
    </row>
    <row r="32" spans="1:21" x14ac:dyDescent="0.2">
      <c r="A32" s="10">
        <v>31</v>
      </c>
      <c r="B32" s="7" t="s">
        <v>16</v>
      </c>
      <c r="C32" s="10" t="s">
        <v>6</v>
      </c>
      <c r="D32" s="6">
        <v>1</v>
      </c>
      <c r="E32" s="4">
        <v>2500</v>
      </c>
      <c r="F32" s="11">
        <f t="shared" si="2"/>
        <v>3000</v>
      </c>
      <c r="G32" s="11">
        <f t="shared" si="3"/>
        <v>3250</v>
      </c>
      <c r="H32" s="11">
        <f t="shared" si="4"/>
        <v>3500</v>
      </c>
      <c r="I32" s="12">
        <f t="shared" si="0"/>
        <v>2500</v>
      </c>
      <c r="J32" s="11">
        <f t="shared" si="1"/>
        <v>3125</v>
      </c>
      <c r="K32" s="11">
        <f t="shared" si="7"/>
        <v>3250</v>
      </c>
      <c r="L32" s="13">
        <f t="shared" si="6"/>
        <v>3500</v>
      </c>
      <c r="N32" s="6">
        <v>1</v>
      </c>
      <c r="T32" s="6">
        <f>SUM(N32:S32)</f>
        <v>1</v>
      </c>
      <c r="U32" s="6" t="b">
        <f>IF(T32=D32,TRUE,FALSE)</f>
        <v>1</v>
      </c>
    </row>
    <row r="33" spans="1:21" x14ac:dyDescent="0.2">
      <c r="A33" s="10"/>
      <c r="B33" s="7"/>
      <c r="C33" s="10"/>
      <c r="E33" s="4"/>
      <c r="F33" s="11"/>
      <c r="G33" s="11"/>
      <c r="H33" s="11"/>
      <c r="I33" s="15">
        <f>SUM(I2:I32)</f>
        <v>912559.5</v>
      </c>
      <c r="J33" s="15">
        <f>SUM(J2:J32)</f>
        <v>1140699.375</v>
      </c>
      <c r="K33" s="15">
        <f>SUM(K2:K32)</f>
        <v>1186327.3500000001</v>
      </c>
      <c r="L33" s="56">
        <f>SUM(L2:L32)</f>
        <v>1277583.3</v>
      </c>
    </row>
    <row r="34" spans="1:21" x14ac:dyDescent="0.2">
      <c r="A34" s="10"/>
      <c r="B34" s="7"/>
      <c r="C34" s="10"/>
      <c r="E34" s="4"/>
      <c r="F34" s="11"/>
      <c r="G34" s="11"/>
      <c r="H34" s="11"/>
      <c r="I34" s="12"/>
      <c r="J34" s="11"/>
      <c r="K34" s="11"/>
      <c r="L34" s="13"/>
    </row>
    <row r="35" spans="1:21" x14ac:dyDescent="0.2">
      <c r="A35" s="10"/>
      <c r="B35" s="7"/>
      <c r="C35" s="10"/>
      <c r="E35" s="4"/>
      <c r="F35" s="11"/>
      <c r="G35" s="11"/>
      <c r="H35" s="11"/>
      <c r="I35" s="12"/>
      <c r="J35" s="11"/>
      <c r="K35" s="11"/>
      <c r="L35" s="13"/>
    </row>
    <row r="36" spans="1:21" s="8" customFormat="1" x14ac:dyDescent="0.2">
      <c r="A36" s="10" t="s">
        <v>15</v>
      </c>
      <c r="B36" s="7" t="s">
        <v>14</v>
      </c>
      <c r="C36" s="10" t="s">
        <v>8</v>
      </c>
      <c r="D36" s="6">
        <f>D9</f>
        <v>800</v>
      </c>
      <c r="E36" s="4">
        <v>150</v>
      </c>
      <c r="F36" s="11">
        <f>E36*1.2</f>
        <v>180</v>
      </c>
      <c r="G36" s="11">
        <f>E36*1.3</f>
        <v>195</v>
      </c>
      <c r="H36" s="11">
        <f>E36*1.4</f>
        <v>210</v>
      </c>
      <c r="I36" s="12">
        <f>D36*E36</f>
        <v>120000</v>
      </c>
      <c r="J36" s="11">
        <f>D36*F36</f>
        <v>144000</v>
      </c>
      <c r="K36" s="11">
        <f>D36*G36</f>
        <v>156000</v>
      </c>
      <c r="L36" s="13">
        <f>D36*H36</f>
        <v>168000</v>
      </c>
      <c r="M36" s="6"/>
      <c r="N36" s="6"/>
      <c r="O36" s="6"/>
      <c r="P36" s="6"/>
      <c r="Q36" s="6"/>
      <c r="R36" s="6"/>
      <c r="S36" s="6"/>
      <c r="T36" s="6">
        <f>SUM(N36:S36)</f>
        <v>0</v>
      </c>
      <c r="U36" s="8" t="b">
        <f>IF(T36=D36,TRUE,FALSE)</f>
        <v>0</v>
      </c>
    </row>
    <row r="37" spans="1:21" s="8" customFormat="1" ht="15" thickBot="1" x14ac:dyDescent="0.25">
      <c r="A37" s="57" t="s">
        <v>13</v>
      </c>
      <c r="B37" s="58" t="s">
        <v>12</v>
      </c>
      <c r="C37" s="57" t="s">
        <v>9</v>
      </c>
      <c r="D37" s="59">
        <v>6</v>
      </c>
      <c r="E37" s="60">
        <v>250</v>
      </c>
      <c r="F37" s="61">
        <f>E37*1.2</f>
        <v>300</v>
      </c>
      <c r="G37" s="61">
        <f>E37*1.3</f>
        <v>325</v>
      </c>
      <c r="H37" s="61">
        <f>E37*1.4</f>
        <v>350</v>
      </c>
      <c r="I37" s="62">
        <f>D37*E37</f>
        <v>1500</v>
      </c>
      <c r="J37" s="61">
        <f>D37*F37</f>
        <v>1800</v>
      </c>
      <c r="K37" s="61">
        <f>D37*G37</f>
        <v>1950</v>
      </c>
      <c r="L37" s="63">
        <f>D37*H37</f>
        <v>2100</v>
      </c>
      <c r="M37" s="6"/>
      <c r="N37" s="6"/>
      <c r="O37" s="6"/>
      <c r="P37" s="6"/>
      <c r="Q37" s="6"/>
      <c r="R37" s="6"/>
      <c r="S37" s="6"/>
      <c r="T37" s="6">
        <f>SUM(N37:S37)</f>
        <v>0</v>
      </c>
      <c r="U37" s="8" t="b">
        <f>IF(T37=D37,TRUE,FALSE)</f>
        <v>0</v>
      </c>
    </row>
    <row r="38" spans="1:21" x14ac:dyDescent="0.2">
      <c r="A38" s="14"/>
      <c r="H38" s="6" t="s">
        <v>11</v>
      </c>
      <c r="J38" s="15"/>
      <c r="K38" s="15"/>
    </row>
    <row r="39" spans="1:21" x14ac:dyDescent="0.2">
      <c r="A39" s="14"/>
    </row>
  </sheetData>
  <conditionalFormatting sqref="U1:U1048576">
    <cfRule type="containsText" dxfId="1" priority="1" operator="containsText" text="TRUE">
      <formula>NOT(ISERROR(SEARCH("TRUE",U1)))</formula>
    </cfRule>
    <cfRule type="containsText" dxfId="0" priority="2" operator="containsText" text="FALSE">
      <formula>NOT(ISERROR(SEARCH("FALSE",U1)))</formula>
    </cfRule>
  </conditionalFormatting>
  <printOptions horizontalCentered="1" gridLines="1"/>
  <pageMargins left="0.7" right="0.7" top="1" bottom="0.75" header="0.5" footer="0.3"/>
  <pageSetup scale="82" fitToHeight="0" orientation="landscape" r:id="rId1"/>
  <headerFooter>
    <oddHeader>&amp;LPRELIMINARY OPINION OF PROBABLE CONSTRUCTION COST
City of Fort Walton Beach
Utility Infrastructure For Freedom Beacon</oddHeader>
    <oddFooter>&amp;L502100083-003&amp;R&amp;D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F5E7-889C-4B91-B307-7EB92E18AC87}">
  <dimension ref="A1:P26"/>
  <sheetViews>
    <sheetView workbookViewId="0">
      <selection activeCell="H20" sqref="H20"/>
    </sheetView>
  </sheetViews>
  <sheetFormatPr defaultRowHeight="15" x14ac:dyDescent="0.25"/>
  <cols>
    <col min="1" max="1" width="9.140625" style="1"/>
    <col min="2" max="2" width="9.42578125" style="1" bestFit="1" customWidth="1"/>
    <col min="3" max="5" width="9.42578125" style="1" customWidth="1"/>
    <col min="6" max="6" width="16.42578125" style="1" bestFit="1" customWidth="1"/>
    <col min="7" max="13" width="9.140625" style="1"/>
    <col min="14" max="14" width="32.85546875" style="1" bestFit="1" customWidth="1"/>
    <col min="15" max="16384" width="9.140625" style="1"/>
  </cols>
  <sheetData>
    <row r="1" spans="1:16" x14ac:dyDescent="0.25">
      <c r="F1" s="2"/>
      <c r="O1" s="1" t="s">
        <v>44</v>
      </c>
      <c r="P1" s="1" t="s">
        <v>45</v>
      </c>
    </row>
    <row r="2" spans="1:16" x14ac:dyDescent="0.25">
      <c r="A2" s="1" t="s">
        <v>46</v>
      </c>
      <c r="B2" s="1" t="s">
        <v>47</v>
      </c>
      <c r="C2" s="1" t="s">
        <v>48</v>
      </c>
      <c r="D2" s="1" t="s">
        <v>3</v>
      </c>
      <c r="E2" s="1" t="s">
        <v>49</v>
      </c>
      <c r="F2" s="1" t="s">
        <v>50</v>
      </c>
      <c r="G2" s="1" t="s">
        <v>51</v>
      </c>
      <c r="H2" s="1" t="s">
        <v>49</v>
      </c>
      <c r="L2" s="1">
        <v>6</v>
      </c>
      <c r="M2" s="1" t="s">
        <v>52</v>
      </c>
      <c r="N2" s="1" t="s">
        <v>53</v>
      </c>
      <c r="O2" s="1">
        <v>11.54</v>
      </c>
      <c r="P2" s="1">
        <v>76.16</v>
      </c>
    </row>
    <row r="3" spans="1:16" x14ac:dyDescent="0.25">
      <c r="A3" s="1">
        <v>6</v>
      </c>
      <c r="B3" s="1">
        <v>11.25</v>
      </c>
      <c r="C3" s="1">
        <v>75</v>
      </c>
      <c r="D3" s="1">
        <v>9</v>
      </c>
      <c r="E3" s="1">
        <f t="shared" ref="E3:E7" si="0">C3*D3</f>
        <v>675</v>
      </c>
      <c r="F3" s="1">
        <f>$O$2+$O$6</f>
        <v>28.77</v>
      </c>
      <c r="G3" s="1">
        <f>2*D3</f>
        <v>18</v>
      </c>
      <c r="H3" s="1">
        <f t="shared" ref="H3:H7" si="1">F3*G3</f>
        <v>517.86</v>
      </c>
      <c r="L3" s="1">
        <v>8</v>
      </c>
      <c r="M3" s="1" t="s">
        <v>54</v>
      </c>
      <c r="N3" s="1" t="s">
        <v>55</v>
      </c>
      <c r="O3" s="1">
        <v>18.14</v>
      </c>
      <c r="P3" s="1">
        <v>112.71</v>
      </c>
    </row>
    <row r="4" spans="1:16" x14ac:dyDescent="0.25">
      <c r="B4" s="1">
        <v>22.5</v>
      </c>
      <c r="C4" s="1">
        <v>75</v>
      </c>
      <c r="D4" s="1">
        <v>1</v>
      </c>
      <c r="E4" s="1">
        <f t="shared" si="0"/>
        <v>75</v>
      </c>
      <c r="F4" s="1">
        <f t="shared" ref="F4:F7" si="2">$O$2+$O$6</f>
        <v>28.77</v>
      </c>
      <c r="G4" s="1">
        <f t="shared" ref="G4:G5" si="3">2*D4</f>
        <v>2</v>
      </c>
      <c r="H4" s="1">
        <f t="shared" si="1"/>
        <v>57.54</v>
      </c>
      <c r="L4" s="1">
        <v>12</v>
      </c>
      <c r="M4" s="1" t="s">
        <v>56</v>
      </c>
      <c r="N4" s="1" t="s">
        <v>57</v>
      </c>
      <c r="O4" s="1">
        <v>28.87</v>
      </c>
      <c r="P4" s="1">
        <v>223.97</v>
      </c>
    </row>
    <row r="5" spans="1:16" x14ac:dyDescent="0.25">
      <c r="B5" s="1">
        <v>45</v>
      </c>
      <c r="C5" s="1">
        <v>75</v>
      </c>
      <c r="D5" s="1">
        <v>7</v>
      </c>
      <c r="E5" s="1">
        <f>C5*D5</f>
        <v>525</v>
      </c>
      <c r="F5" s="1">
        <f t="shared" si="2"/>
        <v>28.77</v>
      </c>
      <c r="G5" s="1">
        <f t="shared" si="3"/>
        <v>14</v>
      </c>
      <c r="H5" s="1">
        <f t="shared" si="1"/>
        <v>402.78</v>
      </c>
    </row>
    <row r="6" spans="1:16" x14ac:dyDescent="0.25">
      <c r="A6" s="1">
        <v>6</v>
      </c>
      <c r="B6" s="1" t="s">
        <v>58</v>
      </c>
      <c r="C6" s="1">
        <v>25</v>
      </c>
      <c r="D6" s="1">
        <v>4</v>
      </c>
      <c r="E6" s="1">
        <f t="shared" si="0"/>
        <v>100</v>
      </c>
      <c r="F6" s="1">
        <f t="shared" si="2"/>
        <v>28.77</v>
      </c>
      <c r="G6" s="1">
        <f>D6</f>
        <v>4</v>
      </c>
      <c r="H6" s="1">
        <f t="shared" si="1"/>
        <v>115.08</v>
      </c>
      <c r="L6" s="1">
        <v>6</v>
      </c>
      <c r="M6" s="1" t="s">
        <v>59</v>
      </c>
      <c r="N6" s="1" t="s">
        <v>60</v>
      </c>
      <c r="O6" s="1">
        <v>17.23</v>
      </c>
      <c r="P6" s="1">
        <v>127.07</v>
      </c>
    </row>
    <row r="7" spans="1:16" x14ac:dyDescent="0.25">
      <c r="A7" s="1">
        <v>6</v>
      </c>
      <c r="B7" s="1" t="s">
        <v>61</v>
      </c>
      <c r="C7" s="1">
        <v>125</v>
      </c>
      <c r="D7" s="1">
        <v>3</v>
      </c>
      <c r="E7" s="1">
        <f t="shared" si="0"/>
        <v>375</v>
      </c>
      <c r="F7" s="1">
        <f t="shared" si="2"/>
        <v>28.77</v>
      </c>
      <c r="G7" s="1">
        <f>3*D7</f>
        <v>9</v>
      </c>
      <c r="H7" s="1">
        <f t="shared" si="1"/>
        <v>258.93</v>
      </c>
      <c r="L7" s="1">
        <v>8</v>
      </c>
      <c r="M7" s="1" t="s">
        <v>62</v>
      </c>
      <c r="N7" s="1" t="s">
        <v>63</v>
      </c>
      <c r="O7" s="1">
        <v>24.46</v>
      </c>
      <c r="P7" s="1">
        <v>170.17</v>
      </c>
    </row>
    <row r="8" spans="1:16" x14ac:dyDescent="0.25">
      <c r="L8" s="1">
        <v>12</v>
      </c>
      <c r="M8" s="1" t="s">
        <v>64</v>
      </c>
      <c r="N8" s="1" t="s">
        <v>65</v>
      </c>
      <c r="O8" s="1">
        <v>37.47</v>
      </c>
      <c r="P8" s="1">
        <v>304.22000000000003</v>
      </c>
    </row>
    <row r="10" spans="1:16" x14ac:dyDescent="0.25">
      <c r="A10" s="1">
        <v>8</v>
      </c>
      <c r="B10" s="1" t="s">
        <v>58</v>
      </c>
      <c r="C10" s="1">
        <v>45</v>
      </c>
      <c r="D10" s="1">
        <v>1</v>
      </c>
      <c r="E10" s="1">
        <f t="shared" ref="E10:E18" si="4">C10*D10</f>
        <v>45</v>
      </c>
      <c r="F10" s="1">
        <f>$O$3+$O$7</f>
        <v>42.6</v>
      </c>
      <c r="G10" s="1">
        <f>D10</f>
        <v>1</v>
      </c>
      <c r="H10" s="1">
        <f t="shared" ref="H10" si="5">F10*G10</f>
        <v>42.6</v>
      </c>
    </row>
    <row r="11" spans="1:16" x14ac:dyDescent="0.25">
      <c r="L11">
        <v>6</v>
      </c>
      <c r="M11">
        <v>190600</v>
      </c>
      <c r="N11" t="s">
        <v>69</v>
      </c>
      <c r="O11">
        <v>27.18</v>
      </c>
      <c r="P11">
        <v>174.59</v>
      </c>
    </row>
    <row r="12" spans="1:16" x14ac:dyDescent="0.25">
      <c r="A12" s="1">
        <v>12</v>
      </c>
      <c r="B12" s="1">
        <v>45</v>
      </c>
      <c r="C12" s="1">
        <v>215</v>
      </c>
      <c r="D12" s="1">
        <v>2</v>
      </c>
      <c r="E12" s="1">
        <f t="shared" si="4"/>
        <v>430</v>
      </c>
      <c r="F12" s="1">
        <f>$O$4+$O$8</f>
        <v>66.34</v>
      </c>
      <c r="G12" s="1">
        <f t="shared" ref="G12:G13" si="6">2*D12</f>
        <v>4</v>
      </c>
      <c r="H12" s="1">
        <f t="shared" ref="H12:H14" si="7">F12*G12</f>
        <v>265.36</v>
      </c>
      <c r="L12">
        <v>8</v>
      </c>
      <c r="M12">
        <v>190800</v>
      </c>
      <c r="N12" t="s">
        <v>69</v>
      </c>
      <c r="O12">
        <v>37.340000000000003</v>
      </c>
      <c r="P12">
        <v>237.87</v>
      </c>
    </row>
    <row r="13" spans="1:16" x14ac:dyDescent="0.25">
      <c r="B13" s="1">
        <v>11.25</v>
      </c>
      <c r="C13" s="1">
        <v>220</v>
      </c>
      <c r="D13" s="1">
        <v>7</v>
      </c>
      <c r="E13" s="1">
        <f t="shared" si="4"/>
        <v>1540</v>
      </c>
      <c r="F13" s="1">
        <f t="shared" ref="F13:F18" si="8">$O$4+$O$8</f>
        <v>66.34</v>
      </c>
      <c r="G13" s="1">
        <f t="shared" si="6"/>
        <v>14</v>
      </c>
      <c r="H13" s="1">
        <f t="shared" si="7"/>
        <v>928.76</v>
      </c>
      <c r="L13">
        <v>12</v>
      </c>
      <c r="M13">
        <v>191200</v>
      </c>
      <c r="N13" t="s">
        <v>69</v>
      </c>
      <c r="O13">
        <v>74.48</v>
      </c>
      <c r="P13">
        <v>454.83</v>
      </c>
    </row>
    <row r="14" spans="1:16" x14ac:dyDescent="0.25">
      <c r="A14" s="1">
        <v>12</v>
      </c>
      <c r="B14" s="1" t="s">
        <v>61</v>
      </c>
      <c r="C14" s="1">
        <v>410</v>
      </c>
      <c r="D14" s="1">
        <v>2</v>
      </c>
      <c r="E14" s="1">
        <f t="shared" si="4"/>
        <v>820</v>
      </c>
      <c r="F14" s="1">
        <f t="shared" si="8"/>
        <v>66.34</v>
      </c>
      <c r="G14" s="1">
        <f>3*D14</f>
        <v>6</v>
      </c>
      <c r="H14" s="1">
        <f t="shared" si="7"/>
        <v>398.04</v>
      </c>
    </row>
    <row r="16" spans="1:16" x14ac:dyDescent="0.25">
      <c r="A16" s="1" t="s">
        <v>66</v>
      </c>
      <c r="B16" s="1" t="s">
        <v>67</v>
      </c>
      <c r="C16" s="1">
        <v>165</v>
      </c>
      <c r="D16" s="1">
        <v>1</v>
      </c>
      <c r="E16" s="1">
        <f t="shared" si="4"/>
        <v>165</v>
      </c>
      <c r="F16" s="1">
        <f t="shared" si="8"/>
        <v>66.34</v>
      </c>
      <c r="G16" s="1">
        <f>D16</f>
        <v>1</v>
      </c>
      <c r="H16" s="1">
        <f t="shared" ref="H16:H18" si="9">F16*G16</f>
        <v>66.34</v>
      </c>
    </row>
    <row r="17" spans="1:8" x14ac:dyDescent="0.25">
      <c r="A17" s="1">
        <v>8</v>
      </c>
      <c r="D17" s="1">
        <v>1</v>
      </c>
      <c r="F17" s="1">
        <f>$O$3+$O$7</f>
        <v>42.6</v>
      </c>
      <c r="G17" s="1">
        <f>D17</f>
        <v>1</v>
      </c>
      <c r="H17" s="1">
        <f t="shared" si="9"/>
        <v>42.6</v>
      </c>
    </row>
    <row r="18" spans="1:8" x14ac:dyDescent="0.25">
      <c r="A18" s="1">
        <v>12</v>
      </c>
      <c r="B18" s="1" t="s">
        <v>58</v>
      </c>
      <c r="C18" s="1">
        <v>80</v>
      </c>
      <c r="D18" s="1">
        <v>2</v>
      </c>
      <c r="E18" s="1">
        <f t="shared" si="4"/>
        <v>160</v>
      </c>
      <c r="F18" s="1">
        <f t="shared" si="8"/>
        <v>66.34</v>
      </c>
      <c r="G18" s="1">
        <v>1</v>
      </c>
      <c r="H18" s="1">
        <f t="shared" si="9"/>
        <v>66.34</v>
      </c>
    </row>
    <row r="20" spans="1:8" x14ac:dyDescent="0.25">
      <c r="D20" s="1" t="s">
        <v>68</v>
      </c>
      <c r="E20" s="1">
        <f>SUM(E3:E18)</f>
        <v>4910</v>
      </c>
      <c r="H20" s="1">
        <f>SUM(H3:H18)</f>
        <v>3162.23</v>
      </c>
    </row>
    <row r="23" spans="1:8" x14ac:dyDescent="0.25">
      <c r="A23" s="1">
        <v>6</v>
      </c>
      <c r="F23" s="1">
        <f>O11</f>
        <v>27.18</v>
      </c>
      <c r="G23" s="1">
        <f>2+3+5+3+32</f>
        <v>45</v>
      </c>
      <c r="H23" s="1">
        <f t="shared" ref="H23" si="10">F23*G23</f>
        <v>1223.0999999999999</v>
      </c>
    </row>
    <row r="24" spans="1:8" x14ac:dyDescent="0.25">
      <c r="A24" s="1">
        <v>8</v>
      </c>
      <c r="F24" s="1">
        <f>O12</f>
        <v>37.340000000000003</v>
      </c>
      <c r="G24" s="1">
        <v>1</v>
      </c>
      <c r="H24" s="1">
        <f>F24*G24</f>
        <v>37.340000000000003</v>
      </c>
    </row>
    <row r="25" spans="1:8" x14ac:dyDescent="0.25">
      <c r="A25" s="1">
        <v>12</v>
      </c>
      <c r="F25" s="1">
        <f>O13</f>
        <v>74.48</v>
      </c>
      <c r="G25" s="1">
        <f>1+3+3+2</f>
        <v>9</v>
      </c>
      <c r="H25" s="1">
        <f>F25*G25</f>
        <v>670.32</v>
      </c>
    </row>
    <row r="26" spans="1:8" x14ac:dyDescent="0.25">
      <c r="H26" s="1">
        <f>SUM(H23:H25)</f>
        <v>1930.7599999999998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7BD61AFCC8A643B8924AB3F7EE18260102008BBDB91D4041EC469096D9CA5DCA8689" ma:contentTypeVersion="15" ma:contentTypeDescription="Base content type for project documents" ma:contentTypeScope="" ma:versionID="a0258022fc59a4e877123bdd710c25cd">
  <xsd:schema xmlns:xsd="http://www.w3.org/2001/XMLSchema" xmlns:xs="http://www.w3.org/2001/XMLSchema" xmlns:p="http://schemas.microsoft.com/office/2006/metadata/properties" xmlns:ns1="http://schemas.microsoft.com/sharepoint/v3" xmlns:ns2="980b2c76-4eb4-4926-991a-bb246786b55e" targetNamespace="http://schemas.microsoft.com/office/2006/metadata/properties" ma:root="true" ma:fieldsID="da1ae7687eadbd13ca9df90ca5c1edc5" ns1:_="" ns2:_="">
    <xsd:import namespace="http://schemas.microsoft.com/sharepoint/v3"/>
    <xsd:import namespace="980b2c76-4eb4-4926-991a-bb246786b55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TaxKeywordTaxHTFiel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MMSourceID" minOccurs="0"/>
                <xsd:element ref="ns2:LastVersionSharedToProjectMemory" minOccurs="0"/>
                <xsd:element ref="ns2:LastDateSharedToProjectMem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5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6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8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9" nillable="true" ma:displayName="Number of Likes" ma:internalName="LikesCount">
      <xsd:simpleType>
        <xsd:restriction base="dms:Unknown"/>
      </xsd:simpleType>
    </xsd:element>
    <xsd:element name="LikedBy" ma:index="20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b2c76-4eb4-4926-991a-bb246786b55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024a9704-822a-40d7-b228-abcd78a38cf0}" ma:internalName="TaxCatchAll" ma:showField="CatchAllData" ma:web="eabf9352-bbd2-43d4-aee0-ff56090bf4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024a9704-822a-40d7-b228-abcd78a38cf0}" ma:internalName="TaxCatchAllLabel" ma:readOnly="true" ma:showField="CatchAllDataLabel" ma:web="eabf9352-bbd2-43d4-aee0-ff56090bf4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Enterprise Keywords" ma:fieldId="{23f27201-bee3-471e-b2e7-b64fd8b7ca38}" ma:taxonomyMulti="true" ma:sspId="3bee4c5c-8f43-4f7f-9637-07f983ecca3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MMSourceID" ma:index="21" nillable="true" ma:displayName="MM Source ID" ma:description="Used for source searches" ma:internalName="MMSourceID" ma:readOnly="false">
      <xsd:simpleType>
        <xsd:restriction base="dms:Text">
          <xsd:maxLength value="255"/>
        </xsd:restriction>
      </xsd:simpleType>
    </xsd:element>
    <xsd:element name="LastVersionSharedToProjectMemory" ma:index="22" nillable="true" ma:displayName="Last Version Shared To Project Memory" ma:internalName="LastVersionSharedToProjectMemory" ma:readOnly="false">
      <xsd:simpleType>
        <xsd:restriction base="dms:Text">
          <xsd:maxLength value="255"/>
        </xsd:restriction>
      </xsd:simpleType>
    </xsd:element>
    <xsd:element name="LastDateSharedToProjectMemory" ma:index="23" nillable="true" ma:displayName="Last Shared To Project Memory" ma:format="DateTime" ma:internalName="LastDateSharedToProjectMemory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bee4c5c-8f43-4f7f-9637-07f983ecca3d" ContentTypeId="0x0101007BD61AFCC8A643B8924AB3F7EE18260102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980b2c76-4eb4-4926-991a-bb246786b55e">
      <Terms xmlns="http://schemas.microsoft.com/office/infopath/2007/PartnerControls"/>
    </TaxKeywordTaxHTField>
    <LikesCount xmlns="http://schemas.microsoft.com/sharepoint/v3" xsi:nil="true"/>
    <MMSourceID xmlns="980b2c76-4eb4-4926-991a-bb246786b55e" xsi:nil="true"/>
    <Ratings xmlns="http://schemas.microsoft.com/sharepoint/v3" xsi:nil="true"/>
    <LastDateSharedToProjectMemory xmlns="980b2c76-4eb4-4926-991a-bb246786b55e" xsi:nil="true"/>
    <LikedBy xmlns="http://schemas.microsoft.com/sharepoint/v3">
      <UserInfo>
        <DisplayName/>
        <AccountId xsi:nil="true"/>
        <AccountType/>
      </UserInfo>
    </LikedBy>
    <LastVersionSharedToProjectMemory xmlns="980b2c76-4eb4-4926-991a-bb246786b55e" xsi:nil="true"/>
    <TaxCatchAll xmlns="980b2c76-4eb4-4926-991a-bb246786b55e"/>
    <RatedBy xmlns="http://schemas.microsoft.com/sharepoint/v3">
      <UserInfo>
        <DisplayName/>
        <AccountId xsi:nil="true"/>
        <AccountType/>
      </UserInfo>
    </RatedBy>
    <_dlc_DocId xmlns="980b2c76-4eb4-4926-991a-bb246786b55e">502100608-652246836-601</_dlc_DocId>
    <_dlc_DocIdUrl xmlns="980b2c76-4eb4-4926-991a-bb246786b55e">
      <Url>https://mottmac.sharepoint.com/teams/pj-e9493/_layouts/15/DocIdRedir.aspx?ID=502100608-652246836-601</Url>
      <Description>502100608-652246836-601</Description>
    </_dlc_DocIdUrl>
  </documentManagement>
</p:properties>
</file>

<file path=customXml/itemProps1.xml><?xml version="1.0" encoding="utf-8"?>
<ds:datastoreItem xmlns:ds="http://schemas.openxmlformats.org/officeDocument/2006/customXml" ds:itemID="{192C9DBA-BB8F-45D0-A775-B6C8ACC7A5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80b2c76-4eb4-4926-991a-bb246786b5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AB7CF1-129C-4B47-806E-CC333ADD475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2C2B589-0ECC-4954-AB97-BEEAF5C2081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5FD5D7A-2C51-4B8F-8676-7E5D603D6C7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C74503DA-A8F9-4E41-BE17-E4DE6092BBCC}">
  <ds:schemaRefs>
    <ds:schemaRef ds:uri="http://schemas.microsoft.com/office/2006/metadata/properties"/>
    <ds:schemaRef ds:uri="http://schemas.microsoft.com/office/infopath/2007/PartnerControls"/>
    <ds:schemaRef ds:uri="980b2c76-4eb4-4926-991a-bb246786b55e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Bid Form</vt:lpstr>
      <vt:lpstr>Mike's Update</vt:lpstr>
      <vt:lpstr>For Client</vt:lpstr>
      <vt:lpstr>Fittings #</vt:lpstr>
      <vt:lpstr>'Bid Form'!Print_Area</vt:lpstr>
      <vt:lpstr>'For Client'!Print_Area</vt:lpstr>
      <vt:lpstr>'Bid Form'!Print_Titles</vt:lpstr>
    </vt:vector>
  </TitlesOfParts>
  <Manager/>
  <Company>HMMG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Marty Hebrank</dc:creator>
  <cp:keywords/>
  <dc:description/>
  <cp:lastModifiedBy>Giuliana F. Scott</cp:lastModifiedBy>
  <cp:revision/>
  <cp:lastPrinted>2022-05-16T15:05:00Z</cp:lastPrinted>
  <dcterms:created xsi:type="dcterms:W3CDTF">2005-06-22T13:29:09Z</dcterms:created>
  <dcterms:modified xsi:type="dcterms:W3CDTF">2022-10-03T18:39:39Z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0x0101007BD61AFCC8A643B8924AB3F7EE18260102008BBDB91D4041EC469096D9CA5DCA8689</vt:lpwstr>
  </property>
  <property fmtid="{D5CDD505-2E9C-101B-9397-08002B2CF9AE}" pid="3" name="_dlc_DocIdItemGuid">
    <vt:lpwstr>b3c083ac-9f25-40cc-a8d7-77e08adaa130</vt:lpwstr>
  </property>
  <property fmtid="{D5CDD505-2E9C-101B-9397-08002B2CF9AE}" pid="4" name="TaxKeyword">
    <vt:lpwstr/>
  </property>
</Properties>
</file>