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U:\OFS\Procurement\Deb\PW\36245 Service Mowing N,W, S\SOUTH REGION\"/>
    </mc:Choice>
  </mc:AlternateContent>
  <xr:revisionPtr revIDLastSave="0" documentId="13_ncr:1_{0710B38E-C917-495D-9DA2-563EB4CB21D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id-Sheet" sheetId="15" r:id="rId1"/>
    <sheet name="512 RecArea" sheetId="18" r:id="rId2"/>
    <sheet name="C54Parking" sheetId="19" r:id="rId3"/>
    <sheet name="AP-1 RecArea" sheetId="22" r:id="rId4"/>
    <sheet name="StickMarsh RecArea" sheetId="20" r:id="rId5"/>
    <sheet name="TomLawton RecArea" sheetId="21" r:id="rId6"/>
    <sheet name="Taylor Creek" sheetId="4" r:id="rId7"/>
    <sheet name="Bull Creek" sheetId="5" r:id="rId8"/>
    <sheet name="Sawgrass Lake" sheetId="6" r:id="rId9"/>
    <sheet name="Three Forks" sheetId="7" r:id="rId10"/>
    <sheet name="TM Goodwin" sheetId="9" r:id="rId11"/>
    <sheet name="C54" sheetId="10" r:id="rId12"/>
    <sheet name="Fellsmere WMA" sheetId="12" r:id="rId13"/>
    <sheet name="Micco" sheetId="11" r:id="rId14"/>
    <sheet name="Blue Cypress" sheetId="16" r:id="rId15"/>
    <sheet name="FT. Drum" sheetId="17" r:id="rId16"/>
  </sheets>
  <definedNames>
    <definedName name="_xlnm.Print_Titles" localSheetId="7">'Bull Creek'!$3:$3</definedName>
    <definedName name="_xlnm.Print_Titles" localSheetId="11">'C54'!#REF!</definedName>
    <definedName name="_xlnm.Print_Titles" localSheetId="10">'TM Goodwin'!$3:$3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6" l="1"/>
  <c r="C5" i="15" l="1"/>
  <c r="G33" i="10"/>
  <c r="G27" i="9"/>
  <c r="G37" i="7"/>
  <c r="I7" i="7" l="1"/>
  <c r="D5" i="15"/>
  <c r="G5" i="22"/>
  <c r="G18" i="7"/>
  <c r="G17" i="11"/>
  <c r="G25" i="17"/>
  <c r="G15" i="11"/>
  <c r="G4" i="19" l="1"/>
  <c r="C9" i="15" l="1"/>
  <c r="D9" i="15" s="1"/>
  <c r="G5" i="21"/>
  <c r="G5" i="20"/>
  <c r="C8" i="15" s="1"/>
  <c r="D8" i="15" s="1"/>
  <c r="G5" i="19"/>
  <c r="C7" i="15" s="1"/>
  <c r="D7" i="15" s="1"/>
  <c r="C6" i="15"/>
  <c r="D6" i="15" s="1"/>
  <c r="G5" i="18"/>
  <c r="B14" i="15"/>
  <c r="B15" i="15"/>
  <c r="B16" i="15"/>
  <c r="B17" i="15"/>
  <c r="B18" i="15"/>
  <c r="B19" i="15"/>
  <c r="G24" i="17"/>
  <c r="G12" i="17"/>
  <c r="G13" i="17"/>
  <c r="G17" i="17"/>
  <c r="G18" i="17"/>
  <c r="G6" i="17"/>
  <c r="G19" i="17"/>
  <c r="G21" i="17"/>
  <c r="G20" i="17"/>
  <c r="G9" i="17"/>
  <c r="G15" i="17"/>
  <c r="G14" i="17"/>
  <c r="G7" i="17"/>
  <c r="G23" i="17"/>
  <c r="G22" i="17"/>
  <c r="G4" i="17"/>
  <c r="G16" i="17"/>
  <c r="G5" i="16"/>
  <c r="G7" i="16" l="1"/>
  <c r="G9" i="16"/>
  <c r="G8" i="16"/>
  <c r="G18" i="16"/>
  <c r="G20" i="16"/>
  <c r="G10" i="16"/>
  <c r="G15" i="16"/>
  <c r="G14" i="16"/>
  <c r="G26" i="16"/>
  <c r="G11" i="16"/>
  <c r="G22" i="16"/>
  <c r="G21" i="16"/>
  <c r="G16" i="16"/>
  <c r="G13" i="16"/>
  <c r="G12" i="16"/>
  <c r="G23" i="16"/>
  <c r="G8" i="11"/>
  <c r="G9" i="11"/>
  <c r="G7" i="11"/>
  <c r="G12" i="11"/>
  <c r="G10" i="11"/>
  <c r="G14" i="11"/>
  <c r="G5" i="11"/>
  <c r="G4" i="11"/>
  <c r="G11" i="11"/>
  <c r="G5" i="12"/>
  <c r="G6" i="12"/>
  <c r="G4" i="12"/>
  <c r="G7" i="12"/>
  <c r="G19" i="10"/>
  <c r="G26" i="10"/>
  <c r="G22" i="10"/>
  <c r="G5" i="10"/>
  <c r="G11" i="10"/>
  <c r="G7" i="10"/>
  <c r="G10" i="10"/>
  <c r="G8" i="10"/>
  <c r="G9" i="10"/>
  <c r="G24" i="10" l="1"/>
  <c r="G20" i="10"/>
  <c r="G21" i="10"/>
  <c r="G23" i="10"/>
  <c r="G6" i="10"/>
  <c r="G32" i="10"/>
  <c r="G27" i="10"/>
  <c r="G31" i="10"/>
  <c r="G14" i="10"/>
  <c r="G12" i="10"/>
  <c r="G30" i="10"/>
  <c r="G28" i="10"/>
  <c r="G13" i="9"/>
  <c r="G5" i="9"/>
  <c r="G4" i="9"/>
  <c r="G12" i="9" l="1"/>
  <c r="G14" i="9"/>
  <c r="G11" i="9" l="1"/>
  <c r="G18" i="9"/>
  <c r="G17" i="9"/>
  <c r="G16" i="9"/>
  <c r="G20" i="9"/>
  <c r="G19" i="9"/>
  <c r="G15" i="9"/>
  <c r="G8" i="7"/>
  <c r="G13" i="7"/>
  <c r="G29" i="7"/>
  <c r="G31" i="7"/>
  <c r="G32" i="7"/>
  <c r="G20" i="7"/>
  <c r="G21" i="7"/>
  <c r="G22" i="7"/>
  <c r="G19" i="7"/>
  <c r="G16" i="7"/>
  <c r="G15" i="7"/>
  <c r="G14" i="7"/>
  <c r="G28" i="7"/>
  <c r="G27" i="7"/>
  <c r="G6" i="7"/>
  <c r="G10" i="7"/>
  <c r="G4" i="7"/>
  <c r="G12" i="7"/>
  <c r="G11" i="7"/>
  <c r="G9" i="7"/>
  <c r="B12" i="15" l="1"/>
  <c r="G6" i="6"/>
  <c r="G15" i="6"/>
  <c r="G14" i="6"/>
  <c r="G13" i="6"/>
  <c r="G12" i="6"/>
  <c r="G11" i="6"/>
  <c r="G10" i="6"/>
  <c r="G9" i="6"/>
  <c r="G8" i="6"/>
  <c r="G7" i="6"/>
  <c r="G5" i="6"/>
  <c r="G4" i="6"/>
  <c r="G8" i="5"/>
  <c r="G5" i="5"/>
  <c r="G4" i="5"/>
  <c r="B11" i="15"/>
  <c r="B10" i="15"/>
  <c r="G6" i="4"/>
  <c r="G4" i="4"/>
  <c r="G7" i="4" l="1"/>
  <c r="G16" i="6" l="1"/>
  <c r="C12" i="15" s="1"/>
  <c r="D12" i="15" s="1"/>
  <c r="C19" i="15" l="1"/>
  <c r="D19" i="15" s="1"/>
  <c r="C18" i="15"/>
  <c r="D18" i="15" s="1"/>
  <c r="C17" i="15"/>
  <c r="D17" i="15" s="1"/>
  <c r="G8" i="12"/>
  <c r="C16" i="15" s="1"/>
  <c r="D16" i="15" s="1"/>
  <c r="C15" i="15"/>
  <c r="D15" i="15" s="1"/>
  <c r="C14" i="15"/>
  <c r="C13" i="15"/>
  <c r="G9" i="5"/>
  <c r="D13" i="15" l="1"/>
  <c r="C11" i="15"/>
  <c r="D11" i="15" s="1"/>
  <c r="D14" i="15"/>
  <c r="C10" i="15"/>
  <c r="D10" i="15" s="1"/>
  <c r="C20" i="15" l="1"/>
  <c r="D20" i="15"/>
</calcChain>
</file>

<file path=xl/sharedStrings.xml><?xml version="1.0" encoding="utf-8"?>
<sst xmlns="http://schemas.openxmlformats.org/spreadsheetml/2006/main" count="1092" uniqueCount="331">
  <si>
    <t>$</t>
  </si>
  <si>
    <t>Gate</t>
  </si>
  <si>
    <t>Identifier</t>
  </si>
  <si>
    <t>Type of Feature</t>
  </si>
  <si>
    <t>Frequency</t>
  </si>
  <si>
    <t>Features Present in mowing area for string trimmer</t>
  </si>
  <si>
    <t>Camp Site</t>
  </si>
  <si>
    <t>Kiosk</t>
  </si>
  <si>
    <t>Other</t>
  </si>
  <si>
    <t>Description of Mowing Needs</t>
  </si>
  <si>
    <t>Estimate of Sq. Footage</t>
  </si>
  <si>
    <t>Parking</t>
  </si>
  <si>
    <t>Sign</t>
  </si>
  <si>
    <t>Porta-Potty</t>
  </si>
  <si>
    <t>Building/Shelter</t>
  </si>
  <si>
    <t>Telemetry Station</t>
  </si>
  <si>
    <t>Pump</t>
  </si>
  <si>
    <t>Bridge</t>
  </si>
  <si>
    <t>Monitoring Well</t>
  </si>
  <si>
    <t>Culvert</t>
  </si>
  <si>
    <t>Water Control Structure</t>
  </si>
  <si>
    <t>Weather Shelter</t>
  </si>
  <si>
    <t>Property</t>
  </si>
  <si>
    <t>Total Square Footage</t>
  </si>
  <si>
    <t>Number of Features</t>
  </si>
  <si>
    <t>Taylor Creek</t>
  </si>
  <si>
    <t>Bull Creek</t>
  </si>
  <si>
    <t>Sawgrass Lake</t>
  </si>
  <si>
    <t xml:space="preserve">Three Forks </t>
  </si>
  <si>
    <t>TM Goodwinn</t>
  </si>
  <si>
    <t>C54 Canal</t>
  </si>
  <si>
    <t>Fellsmere WMA</t>
  </si>
  <si>
    <t>Micco SWP</t>
  </si>
  <si>
    <t>Blue Cypress WMA</t>
  </si>
  <si>
    <t>TC 2-01</t>
  </si>
  <si>
    <t>TC 2-03</t>
  </si>
  <si>
    <t>TC 4-02</t>
  </si>
  <si>
    <t>BC 1-01</t>
  </si>
  <si>
    <t>BC 1-05</t>
  </si>
  <si>
    <t>BC 3-02</t>
  </si>
  <si>
    <t>BC 4-03</t>
  </si>
  <si>
    <t>BC 4-04</t>
  </si>
  <si>
    <t>SG 1-01</t>
  </si>
  <si>
    <t>SG 1-02</t>
  </si>
  <si>
    <t>SG 1-03</t>
  </si>
  <si>
    <t>SG 1-04</t>
  </si>
  <si>
    <t>SG 1-05</t>
  </si>
  <si>
    <t>SG 1-06</t>
  </si>
  <si>
    <t>SG 1-07</t>
  </si>
  <si>
    <t>SG 1-08</t>
  </si>
  <si>
    <t>SG 1-09</t>
  </si>
  <si>
    <t>SG 1-10</t>
  </si>
  <si>
    <t>SG 1-11</t>
  </si>
  <si>
    <t>SG 1-12</t>
  </si>
  <si>
    <t>Telemetry station</t>
  </si>
  <si>
    <t>Water Control structure</t>
  </si>
  <si>
    <t>TF 1-49</t>
  </si>
  <si>
    <t>TF 4-18</t>
  </si>
  <si>
    <t>TF 1-03</t>
  </si>
  <si>
    <t>TF 1-50</t>
  </si>
  <si>
    <t>TF 1-51</t>
  </si>
  <si>
    <t>TF 4-19</t>
  </si>
  <si>
    <t>TF 1-04</t>
  </si>
  <si>
    <t xml:space="preserve">Pavilion, Power Poles, Trees </t>
  </si>
  <si>
    <t>TF 2-08</t>
  </si>
  <si>
    <t>TF 2-09</t>
  </si>
  <si>
    <t>TF 2-10</t>
  </si>
  <si>
    <t>TF 2-11</t>
  </si>
  <si>
    <t>TF 2-12</t>
  </si>
  <si>
    <t>TF 1-22</t>
  </si>
  <si>
    <t>TF 1-23</t>
  </si>
  <si>
    <t>TF 1-24</t>
  </si>
  <si>
    <t>TF 2-05</t>
  </si>
  <si>
    <t>TF 2-13</t>
  </si>
  <si>
    <t>TF 4-20</t>
  </si>
  <si>
    <t>TF 4-21</t>
  </si>
  <si>
    <t>Gate and Guardrail/Fence</t>
  </si>
  <si>
    <t>Parking Area and Entrance Road</t>
  </si>
  <si>
    <t>Water Control Structures</t>
  </si>
  <si>
    <t>Fencing, Building, Structure, Guardrail, Gates</t>
  </si>
  <si>
    <t>S-161, Building, Fencing, Guradrail</t>
  </si>
  <si>
    <t>S-161A, Building, Fencing, Guradrail</t>
  </si>
  <si>
    <t>Gate with Fence/ Guardrail</t>
  </si>
  <si>
    <t>Gate, Guardrail</t>
  </si>
  <si>
    <t>TF 1-01</t>
  </si>
  <si>
    <t>TF 1-02</t>
  </si>
  <si>
    <t>TF 2-06</t>
  </si>
  <si>
    <t>TF 3-07</t>
  </si>
  <si>
    <t>TF 3-14</t>
  </si>
  <si>
    <t>TF 3-15</t>
  </si>
  <si>
    <t>TF 3-16</t>
  </si>
  <si>
    <t>TF 3-17</t>
  </si>
  <si>
    <t>TF 3-52</t>
  </si>
  <si>
    <t>TF 3-53</t>
  </si>
  <si>
    <t>Weir Structure (S-250A)</t>
  </si>
  <si>
    <t>Weir Structure (S-250B)</t>
  </si>
  <si>
    <t>Weir Structure (S-250C)</t>
  </si>
  <si>
    <t>Culvert (S-250D)</t>
  </si>
  <si>
    <t>Pumps, Parking, Building, Guardrail, Power Poles</t>
  </si>
  <si>
    <t>S-262, Walkway</t>
  </si>
  <si>
    <t>Power Poles, Guardrail, Walls</t>
  </si>
  <si>
    <t>Guardrail</t>
  </si>
  <si>
    <t>Pavilion, Trees</t>
  </si>
  <si>
    <t>Weir, Signs, Walkways</t>
  </si>
  <si>
    <t>Signs, Walksways</t>
  </si>
  <si>
    <t>TM 1-12</t>
  </si>
  <si>
    <t>TM 2-02</t>
  </si>
  <si>
    <t>TM 3-10</t>
  </si>
  <si>
    <t>TM 1-18</t>
  </si>
  <si>
    <t>TM 1-19</t>
  </si>
  <si>
    <t>TM 1-20</t>
  </si>
  <si>
    <t>TM 2-08</t>
  </si>
  <si>
    <t>TM 2-25</t>
  </si>
  <si>
    <t>TM 1-01</t>
  </si>
  <si>
    <t>TM 1-13</t>
  </si>
  <si>
    <t>TM 1-14</t>
  </si>
  <si>
    <t>TM 1-15</t>
  </si>
  <si>
    <t>TM 2-03</t>
  </si>
  <si>
    <t>TM 2-04</t>
  </si>
  <si>
    <t>TM 2-05</t>
  </si>
  <si>
    <t>TM 2-06</t>
  </si>
  <si>
    <t>TM 2-07</t>
  </si>
  <si>
    <t>TM 2-21</t>
  </si>
  <si>
    <t>TM 2-22</t>
  </si>
  <si>
    <t>TM 2-23</t>
  </si>
  <si>
    <t>TM 2-24</t>
  </si>
  <si>
    <t>TM 3-09</t>
  </si>
  <si>
    <t>TM 3-11</t>
  </si>
  <si>
    <t>Pump  (C-54 Retention)</t>
  </si>
  <si>
    <t>Building/ Shelter</t>
  </si>
  <si>
    <t>Gate and Guardrail/ Fence</t>
  </si>
  <si>
    <t>Pumps, Structure, Fence, Guardrail</t>
  </si>
  <si>
    <t>Signs</t>
  </si>
  <si>
    <t>CC 1-01</t>
  </si>
  <si>
    <t>CC 1-02</t>
  </si>
  <si>
    <t>CC 1-03</t>
  </si>
  <si>
    <t>CC 2-04</t>
  </si>
  <si>
    <t>CC 2-05</t>
  </si>
  <si>
    <t>CC 2-06</t>
  </si>
  <si>
    <t>CC 2-07</t>
  </si>
  <si>
    <t>CC 2-08</t>
  </si>
  <si>
    <t>CC 2-09</t>
  </si>
  <si>
    <t>CC 2-10</t>
  </si>
  <si>
    <t>CC 2-11</t>
  </si>
  <si>
    <t>CC 2-12</t>
  </si>
  <si>
    <t>CC 2-13</t>
  </si>
  <si>
    <t>CC 2-14</t>
  </si>
  <si>
    <t>CC 2-15</t>
  </si>
  <si>
    <t>CC 2-16</t>
  </si>
  <si>
    <t>CC 2-25</t>
  </si>
  <si>
    <t>CC 3-17</t>
  </si>
  <si>
    <t>CC 3-18</t>
  </si>
  <si>
    <t>CC 3-19</t>
  </si>
  <si>
    <t>CC 3-20</t>
  </si>
  <si>
    <t>CC 3-46</t>
  </si>
  <si>
    <t>CC 4-21</t>
  </si>
  <si>
    <t>CC 4-22</t>
  </si>
  <si>
    <t>CC 4-23</t>
  </si>
  <si>
    <t>CC 4-24</t>
  </si>
  <si>
    <t>CC 1-25</t>
  </si>
  <si>
    <t>CC 3-48</t>
  </si>
  <si>
    <t>CC 5-1</t>
  </si>
  <si>
    <t>Gate with Fence/GuardRail</t>
  </si>
  <si>
    <t>Parking and Gate</t>
  </si>
  <si>
    <t>Water Control Structure (S-96, mow north side)</t>
  </si>
  <si>
    <t>Parking Area and Guardrail to North</t>
  </si>
  <si>
    <t>Weir Structure</t>
  </si>
  <si>
    <t>AP-1 Entrance &amp; Culverts</t>
  </si>
  <si>
    <t>Rework Site Building</t>
  </si>
  <si>
    <t>Guardrail, Gates, Power Poles</t>
  </si>
  <si>
    <t>Buildings, Trees, Power Poles</t>
  </si>
  <si>
    <t>GuardrailPavillion, Fencing</t>
  </si>
  <si>
    <t>Fencing, Gates, Guardrail</t>
  </si>
  <si>
    <t>Guardrail, Fencing, Structure, Building, Signs</t>
  </si>
  <si>
    <t>FW 4-01</t>
  </si>
  <si>
    <t>FW 3-02</t>
  </si>
  <si>
    <t>FW 4-03</t>
  </si>
  <si>
    <t>FW 4-04</t>
  </si>
  <si>
    <t>Overflow Weir</t>
  </si>
  <si>
    <t>Fencing, Solar Panels, Gates</t>
  </si>
  <si>
    <t>Fencing, Guardrail</t>
  </si>
  <si>
    <t>Micco Stormwater Park</t>
  </si>
  <si>
    <t>IR 3-07</t>
  </si>
  <si>
    <t>IR 3-08</t>
  </si>
  <si>
    <t>IR 1-01</t>
  </si>
  <si>
    <t>IR 2-02</t>
  </si>
  <si>
    <t>IR 2-03</t>
  </si>
  <si>
    <t>IR 2-04</t>
  </si>
  <si>
    <t>IR 2-05</t>
  </si>
  <si>
    <t>IR 2-06</t>
  </si>
  <si>
    <t>IR 2-09</t>
  </si>
  <si>
    <t>IR3-10</t>
  </si>
  <si>
    <t>IR2-11</t>
  </si>
  <si>
    <t>IR3-12</t>
  </si>
  <si>
    <t>Entrance &amp; Parking Area</t>
  </si>
  <si>
    <t>Picnic Area</t>
  </si>
  <si>
    <t>Weir</t>
  </si>
  <si>
    <t>Trees, Tables, Signs</t>
  </si>
  <si>
    <t>Gate, Guardrail, Trees, Signs</t>
  </si>
  <si>
    <t>CY 3-12</t>
  </si>
  <si>
    <t>CY 2-21</t>
  </si>
  <si>
    <t>CY 1-18</t>
  </si>
  <si>
    <t>CY 1-19</t>
  </si>
  <si>
    <t>CY 2-07</t>
  </si>
  <si>
    <t>CY 2-08</t>
  </si>
  <si>
    <t>CY 2-09</t>
  </si>
  <si>
    <t>CY 2-10</t>
  </si>
  <si>
    <t>CY 3-11</t>
  </si>
  <si>
    <t>CY 1-13</t>
  </si>
  <si>
    <t>CY 3-15</t>
  </si>
  <si>
    <t>CY 3-20</t>
  </si>
  <si>
    <t>CY 4-17</t>
  </si>
  <si>
    <t>CY 1-01</t>
  </si>
  <si>
    <t>CY 2-03</t>
  </si>
  <si>
    <t>CY 2-04</t>
  </si>
  <si>
    <t>CY 2-05</t>
  </si>
  <si>
    <t>CY 2-06</t>
  </si>
  <si>
    <t>CY 3-14</t>
  </si>
  <si>
    <t>CY 2-02</t>
  </si>
  <si>
    <t>CY 2-22</t>
  </si>
  <si>
    <t>CY 4-16</t>
  </si>
  <si>
    <t>Water Control Structure  (S-96C)</t>
  </si>
  <si>
    <t>Water Control Structure  (S-258)</t>
  </si>
  <si>
    <t>Water Control Structure    (S-3)</t>
  </si>
  <si>
    <t>Gate with Fence/Guardrail</t>
  </si>
  <si>
    <t>Water Control Structure      (S-2)</t>
  </si>
  <si>
    <t>Water Control Structure  (S-259)</t>
  </si>
  <si>
    <t>Pump    (PS-5)</t>
  </si>
  <si>
    <t xml:space="preserve">Pump    (PS-4)                                        </t>
  </si>
  <si>
    <t>Water Control Structure  (S-96D)</t>
  </si>
  <si>
    <t>Water Control Structure  (S-251)</t>
  </si>
  <si>
    <t>Gate with Fence and Guardrail</t>
  </si>
  <si>
    <t>Water Control Structure (S-96B)</t>
  </si>
  <si>
    <t>Fencing, Structure, Building, Guardrail, Power Poles</t>
  </si>
  <si>
    <t>FD 2-06</t>
  </si>
  <si>
    <t>FD 2-07</t>
  </si>
  <si>
    <t>FD 2-10</t>
  </si>
  <si>
    <t>FD 2-15</t>
  </si>
  <si>
    <t>FD 2-16</t>
  </si>
  <si>
    <t>FD 2-17</t>
  </si>
  <si>
    <t>FD 2-18</t>
  </si>
  <si>
    <t>FD 2-19</t>
  </si>
  <si>
    <t>FD 2-08</t>
  </si>
  <si>
    <t>FD 2-09</t>
  </si>
  <si>
    <t>FD 3-14</t>
  </si>
  <si>
    <t>FD 2-20</t>
  </si>
  <si>
    <t>FD 1-01</t>
  </si>
  <si>
    <t>FD 1-02</t>
  </si>
  <si>
    <t>FD 2-05</t>
  </si>
  <si>
    <t>FD 3-11</t>
  </si>
  <si>
    <t>FD 3-12</t>
  </si>
  <si>
    <t>FD 4-13</t>
  </si>
  <si>
    <t>FD 4-14</t>
  </si>
  <si>
    <t>FD 1-03</t>
  </si>
  <si>
    <t>FD 2-04</t>
  </si>
  <si>
    <t>Water Control Structure  (S-252C)</t>
  </si>
  <si>
    <t>Water Control Structure  (S-252A)</t>
  </si>
  <si>
    <t>Water Control Structure  (S-252B)</t>
  </si>
  <si>
    <t>Water Control Structure  (S-252E)</t>
  </si>
  <si>
    <t>Water Control Structure  (S-252F)</t>
  </si>
  <si>
    <t>Water Control Structure  (S-252D)</t>
  </si>
  <si>
    <t>Water Control Structure   (S-253)</t>
  </si>
  <si>
    <t>Pavillion</t>
  </si>
  <si>
    <t>Trees, Fencing, Fire Pits</t>
  </si>
  <si>
    <t>Map Page</t>
  </si>
  <si>
    <t>Service Mowing Locations</t>
  </si>
  <si>
    <t>Sawgrass Lake Water Management Area</t>
  </si>
  <si>
    <t>Three Forks Marsh Conservation Area</t>
  </si>
  <si>
    <t>C-54</t>
  </si>
  <si>
    <t>Fellsmere Water Management Area</t>
  </si>
  <si>
    <t>Blue Cypress Water Management Area</t>
  </si>
  <si>
    <t>Open Area Mowing</t>
  </si>
  <si>
    <t>Standard Feature Mowing</t>
  </si>
  <si>
    <t>Acreage</t>
  </si>
  <si>
    <t>Estimated Yearly Mowing Cycles</t>
  </si>
  <si>
    <t>Cost Per Mowing Cycle</t>
  </si>
  <si>
    <t>Total Cost</t>
  </si>
  <si>
    <t>Bid Tabulation Sheet</t>
  </si>
  <si>
    <t>South Region Service Mowing</t>
  </si>
  <si>
    <t>TOTALS</t>
  </si>
  <si>
    <t>TOTAL ESTIMATED  COST</t>
  </si>
  <si>
    <t>Modified Semi-Monthly</t>
  </si>
  <si>
    <t>N/A</t>
  </si>
  <si>
    <t>3, 4</t>
  </si>
  <si>
    <t>6, 7</t>
  </si>
  <si>
    <t>Weir Structure (S-250E)</t>
  </si>
  <si>
    <t>Levee entrance gate, guard rail and concrete wall</t>
  </si>
  <si>
    <t>Gate and feencing</t>
  </si>
  <si>
    <t>Included in TF 4-18</t>
  </si>
  <si>
    <t>TM Goodwin entrance area</t>
  </si>
  <si>
    <t>Included in item C-54 parking area</t>
  </si>
  <si>
    <t>Included in CC 2-11 Parking</t>
  </si>
  <si>
    <t>500 ft of guard rail</t>
  </si>
  <si>
    <t xml:space="preserve">Power Pole                </t>
  </si>
  <si>
    <t>North of S-96</t>
  </si>
  <si>
    <t>Included in parking IR3-10</t>
  </si>
  <si>
    <t>Gate IR 2-03</t>
  </si>
  <si>
    <t>CY 1-20</t>
  </si>
  <si>
    <t>Guardrail and Pavilion</t>
  </si>
  <si>
    <t>Included in Parking FD 3-11</t>
  </si>
  <si>
    <t xml:space="preserve">Gate </t>
  </si>
  <si>
    <t>Includes telemetry platform</t>
  </si>
  <si>
    <t>With Fence/Guard Rail</t>
  </si>
  <si>
    <t>TM Goodwin</t>
  </si>
  <si>
    <t>512 Recreation Site</t>
  </si>
  <si>
    <t>Guardrails, trees, restrooms, porta-potty, gates and boat ramps</t>
  </si>
  <si>
    <t>512 Recreation Area</t>
  </si>
  <si>
    <t>C54 Parking Area</t>
  </si>
  <si>
    <t>Guardrails, trees, restrooms, pavilion and boat ramps</t>
  </si>
  <si>
    <t>Tom Lawton Recreation Area</t>
  </si>
  <si>
    <t>C-54 Parking Area</t>
  </si>
  <si>
    <t>Stick Marsh Recreation Area</t>
  </si>
  <si>
    <t>Tom Lawton Recreation Site</t>
  </si>
  <si>
    <t>Fort Drum</t>
  </si>
  <si>
    <t>Estimated Number of Cuts per Year</t>
  </si>
  <si>
    <t>IR3-13</t>
  </si>
  <si>
    <t>TF 2-54</t>
  </si>
  <si>
    <t>TF 4-22</t>
  </si>
  <si>
    <t>Building Shelter</t>
  </si>
  <si>
    <t>TF 4-23</t>
  </si>
  <si>
    <t>AP-1 Recreation Site</t>
  </si>
  <si>
    <t>AP-1 Recreation Area</t>
  </si>
  <si>
    <t>Cultural Resource Site (CRS-1)</t>
  </si>
  <si>
    <t>Cultural Resource Site (CRS-2)</t>
  </si>
  <si>
    <t>Cultural Resource Site (CRS-3)</t>
  </si>
  <si>
    <t>TF 2-55</t>
  </si>
  <si>
    <t>Add map</t>
  </si>
  <si>
    <t>Guardrails, fencing, trees, restrooms, gates and boat ramps</t>
  </si>
  <si>
    <t>Fort Drum Marsh Conservation Area</t>
  </si>
  <si>
    <t>CY 2-23</t>
  </si>
  <si>
    <t>Cost per Square Foot: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</si>
</sst>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/>
    <xf numFmtId="3" fontId="6" fillId="2" borderId="10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3" fontId="0" fillId="0" borderId="0" xfId="0" applyNumberFormat="1" applyFill="1" applyBorder="1" applyAlignment="1">
      <alignment horizontal="center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0" fontId="13" fillId="4" borderId="10" xfId="0" applyFont="1" applyFill="1" applyBorder="1" applyAlignment="1">
      <alignment vertical="center"/>
    </xf>
    <xf numFmtId="3" fontId="14" fillId="4" borderId="10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44" fontId="1" fillId="0" borderId="3" xfId="1" applyFont="1" applyFill="1" applyBorder="1" applyAlignment="1">
      <alignment horizontal="left" vertical="center"/>
    </xf>
    <xf numFmtId="44" fontId="1" fillId="0" borderId="5" xfId="1" applyFont="1" applyFill="1" applyBorder="1" applyAlignment="1">
      <alignment horizontal="left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2" borderId="16" xfId="0" applyFill="1" applyBorder="1"/>
    <xf numFmtId="0" fontId="0" fillId="2" borderId="25" xfId="0" applyFill="1" applyBorder="1" applyAlignment="1">
      <alignment wrapText="1"/>
    </xf>
    <xf numFmtId="0" fontId="0" fillId="2" borderId="25" xfId="0" applyFill="1" applyBorder="1"/>
    <xf numFmtId="0" fontId="0" fillId="2" borderId="20" xfId="0" applyFill="1" applyBorder="1"/>
    <xf numFmtId="3" fontId="14" fillId="2" borderId="25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wrapText="1"/>
    </xf>
    <xf numFmtId="3" fontId="7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3" fontId="14" fillId="2" borderId="25" xfId="0" applyNumberFormat="1" applyFont="1" applyFill="1" applyBorder="1" applyAlignment="1">
      <alignment horizontal="center" vertical="center" wrapText="1"/>
    </xf>
    <xf numFmtId="0" fontId="0" fillId="2" borderId="20" xfId="0" applyFont="1" applyFill="1" applyBorder="1"/>
    <xf numFmtId="0" fontId="11" fillId="0" borderId="12" xfId="0" applyFont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0" fillId="2" borderId="20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0" fillId="2" borderId="25" xfId="0" applyNumberFormat="1" applyFill="1" applyBorder="1"/>
    <xf numFmtId="3" fontId="14" fillId="2" borderId="25" xfId="0" applyNumberFormat="1" applyFont="1" applyFill="1" applyBorder="1"/>
    <xf numFmtId="0" fontId="11" fillId="0" borderId="1" xfId="0" applyFont="1" applyFill="1" applyBorder="1" applyAlignment="1">
      <alignment horizontal="center" vertical="center"/>
    </xf>
    <xf numFmtId="3" fontId="14" fillId="2" borderId="25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44" fontId="1" fillId="0" borderId="26" xfId="1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6" fillId="0" borderId="0" xfId="0" applyFont="1"/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165" fontId="0" fillId="0" borderId="1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3" fontId="14" fillId="2" borderId="2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3" fontId="6" fillId="2" borderId="24" xfId="0" applyNumberFormat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6" fontId="6" fillId="0" borderId="2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right" vertical="center" wrapText="1"/>
    </xf>
    <xf numFmtId="164" fontId="9" fillId="4" borderId="7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165" fontId="0" fillId="0" borderId="9" xfId="0" applyNumberFormat="1" applyFont="1" applyBorder="1" applyAlignment="1">
      <alignment horizontal="center" vertical="center"/>
    </xf>
    <xf numFmtId="3" fontId="19" fillId="2" borderId="25" xfId="0" applyNumberFormat="1" applyFont="1" applyFill="1" applyBorder="1" applyAlignment="1">
      <alignment horizontal="center"/>
    </xf>
    <xf numFmtId="3" fontId="8" fillId="0" borderId="11" xfId="0" applyNumberFormat="1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44" fontId="8" fillId="0" borderId="36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3" fontId="18" fillId="2" borderId="25" xfId="0" applyNumberFormat="1" applyFont="1" applyFill="1" applyBorder="1" applyAlignment="1">
      <alignment horizontal="center" vertical="center" wrapText="1"/>
    </xf>
    <xf numFmtId="3" fontId="18" fillId="2" borderId="2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/>
    <xf numFmtId="0" fontId="7" fillId="0" borderId="33" xfId="0" applyFont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right" vertical="center" wrapText="1"/>
    </xf>
    <xf numFmtId="0" fontId="9" fillId="4" borderId="23" xfId="0" applyFont="1" applyFill="1" applyBorder="1" applyAlignment="1">
      <alignment vertical="center"/>
    </xf>
    <xf numFmtId="0" fontId="14" fillId="4" borderId="16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3" fontId="8" fillId="0" borderId="44" xfId="0" applyNumberFormat="1" applyFont="1" applyBorder="1" applyAlignment="1">
      <alignment horizontal="center" vertical="center"/>
    </xf>
    <xf numFmtId="3" fontId="0" fillId="0" borderId="45" xfId="0" applyNumberFormat="1" applyFont="1" applyBorder="1" applyAlignment="1">
      <alignment horizontal="center" vertical="center"/>
    </xf>
    <xf numFmtId="3" fontId="0" fillId="0" borderId="46" xfId="0" applyNumberFormat="1" applyFont="1" applyBorder="1" applyAlignment="1">
      <alignment horizontal="center" vertical="center"/>
    </xf>
    <xf numFmtId="3" fontId="0" fillId="0" borderId="47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8" fillId="0" borderId="35" xfId="1" applyFont="1" applyFill="1" applyBorder="1" applyAlignment="1">
      <alignment horizontal="left" vertical="center"/>
    </xf>
    <xf numFmtId="44" fontId="8" fillId="0" borderId="40" xfId="1" applyFont="1" applyFill="1" applyBorder="1" applyAlignment="1">
      <alignment horizontal="left" vertical="center"/>
    </xf>
    <xf numFmtId="44" fontId="8" fillId="0" borderId="2" xfId="1" applyFont="1" applyFill="1" applyBorder="1" applyAlignment="1">
      <alignment horizontal="left" vertical="center"/>
    </xf>
    <xf numFmtId="44" fontId="8" fillId="0" borderId="4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</xdr:row>
      <xdr:rowOff>400050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979728-52FB-4C67-ADCD-D070F87B67A9}"/>
            </a:ext>
          </a:extLst>
        </xdr:cNvPr>
        <xdr:cNvSpPr txBox="1"/>
      </xdr:nvSpPr>
      <xdr:spPr>
        <a:xfrm>
          <a:off x="8458200" y="3038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C06F-E520-4D28-BB78-8ABE50449A38}">
  <sheetPr>
    <pageSetUpPr fitToPage="1"/>
  </sheetPr>
  <dimension ref="A1:I21"/>
  <sheetViews>
    <sheetView tabSelected="1" zoomScaleNormal="100" workbookViewId="0">
      <selection activeCell="F3" sqref="F1:G1048576"/>
    </sheetView>
  </sheetViews>
  <sheetFormatPr defaultColWidth="9" defaultRowHeight="15" x14ac:dyDescent="0.25"/>
  <cols>
    <col min="1" max="1" width="25.28515625" style="34" customWidth="1"/>
    <col min="2" max="2" width="10.5703125" style="7" customWidth="1"/>
    <col min="3" max="3" width="15.140625" style="7" customWidth="1"/>
    <col min="4" max="4" width="13.5703125" style="7" customWidth="1"/>
    <col min="5" max="5" width="16.7109375" style="7" customWidth="1"/>
    <col min="6" max="6" width="28.7109375" style="38" hidden="1" customWidth="1"/>
    <col min="7" max="7" width="28.7109375" style="7" hidden="1" customWidth="1"/>
    <col min="8" max="8" width="12.140625" style="6" customWidth="1"/>
    <col min="9" max="16384" width="9" style="7"/>
  </cols>
  <sheetData>
    <row r="1" spans="1:9" ht="22.5" customHeight="1" x14ac:dyDescent="0.25">
      <c r="A1" s="340" t="s">
        <v>277</v>
      </c>
      <c r="B1" s="340"/>
      <c r="C1" s="340"/>
      <c r="D1" s="340"/>
      <c r="E1" s="340"/>
      <c r="F1" s="340"/>
      <c r="G1" s="340"/>
      <c r="H1" s="46"/>
      <c r="I1" s="41"/>
    </row>
    <row r="2" spans="1:9" ht="18.75" x14ac:dyDescent="0.25">
      <c r="A2" s="340" t="s">
        <v>278</v>
      </c>
      <c r="B2" s="340"/>
      <c r="C2" s="340"/>
      <c r="D2" s="340"/>
      <c r="E2" s="340"/>
      <c r="F2" s="340"/>
      <c r="G2" s="340"/>
      <c r="H2" s="46"/>
    </row>
    <row r="3" spans="1:9" ht="15.75" thickBot="1" x14ac:dyDescent="0.3"/>
    <row r="4" spans="1:9" s="1" customFormat="1" ht="43.5" customHeight="1" thickBot="1" x14ac:dyDescent="0.3">
      <c r="A4" s="70" t="s">
        <v>22</v>
      </c>
      <c r="B4" s="71" t="s">
        <v>24</v>
      </c>
      <c r="C4" s="71" t="s">
        <v>23</v>
      </c>
      <c r="D4" s="165" t="s">
        <v>273</v>
      </c>
      <c r="E4" s="165" t="s">
        <v>274</v>
      </c>
      <c r="F4" s="335" t="s">
        <v>275</v>
      </c>
      <c r="G4" s="72" t="s">
        <v>276</v>
      </c>
    </row>
    <row r="5" spans="1:9" s="270" customFormat="1" ht="24.75" customHeight="1" x14ac:dyDescent="0.25">
      <c r="A5" s="265" t="s">
        <v>321</v>
      </c>
      <c r="B5" s="266">
        <v>6</v>
      </c>
      <c r="C5" s="267">
        <f>SUM('AP-1 RecArea'!G5)</f>
        <v>40000</v>
      </c>
      <c r="D5" s="268">
        <f t="shared" ref="D5:D9" si="0">C5/43560</f>
        <v>0.91827364554637281</v>
      </c>
      <c r="E5" s="331">
        <v>13</v>
      </c>
      <c r="F5" s="336" t="s">
        <v>0</v>
      </c>
      <c r="G5" s="269" t="s">
        <v>0</v>
      </c>
    </row>
    <row r="6" spans="1:9" s="138" customFormat="1" ht="24" customHeight="1" x14ac:dyDescent="0.25">
      <c r="A6" s="164" t="s">
        <v>306</v>
      </c>
      <c r="B6" s="142">
        <v>1</v>
      </c>
      <c r="C6" s="264">
        <f>SUM('512 RecArea'!G5)</f>
        <v>87120</v>
      </c>
      <c r="D6" s="166">
        <f t="shared" si="0"/>
        <v>2</v>
      </c>
      <c r="E6" s="332">
        <v>13</v>
      </c>
      <c r="F6" s="337" t="s">
        <v>0</v>
      </c>
      <c r="G6" s="141" t="s">
        <v>0</v>
      </c>
    </row>
    <row r="7" spans="1:9" s="138" customFormat="1" ht="24" customHeight="1" x14ac:dyDescent="0.25">
      <c r="A7" s="261" t="s">
        <v>307</v>
      </c>
      <c r="B7" s="142">
        <v>1</v>
      </c>
      <c r="C7" s="85">
        <f>SUM('C54Parking'!G5)</f>
        <v>2186.52</v>
      </c>
      <c r="D7" s="166">
        <f t="shared" si="0"/>
        <v>5.0195592286501375E-2</v>
      </c>
      <c r="E7" s="332">
        <v>13</v>
      </c>
      <c r="F7" s="337" t="s">
        <v>0</v>
      </c>
      <c r="G7" s="141" t="s">
        <v>0</v>
      </c>
    </row>
    <row r="8" spans="1:9" s="138" customFormat="1" ht="30" x14ac:dyDescent="0.25">
      <c r="A8" s="261" t="s">
        <v>311</v>
      </c>
      <c r="B8" s="142">
        <v>1</v>
      </c>
      <c r="C8" s="264">
        <f>SUM('StickMarsh RecArea'!G5)</f>
        <v>87120</v>
      </c>
      <c r="D8" s="166">
        <f t="shared" si="0"/>
        <v>2</v>
      </c>
      <c r="E8" s="332">
        <v>13</v>
      </c>
      <c r="F8" s="337" t="s">
        <v>0</v>
      </c>
      <c r="G8" s="141" t="s">
        <v>0</v>
      </c>
    </row>
    <row r="9" spans="1:9" s="138" customFormat="1" ht="24" customHeight="1" x14ac:dyDescent="0.25">
      <c r="A9" s="261" t="s">
        <v>309</v>
      </c>
      <c r="B9" s="142">
        <v>1</v>
      </c>
      <c r="C9" s="264">
        <f>SUM('TomLawton RecArea'!G5)</f>
        <v>217800</v>
      </c>
      <c r="D9" s="166">
        <f t="shared" si="0"/>
        <v>5</v>
      </c>
      <c r="E9" s="332">
        <v>13</v>
      </c>
      <c r="F9" s="337" t="s">
        <v>0</v>
      </c>
      <c r="G9" s="141" t="s">
        <v>0</v>
      </c>
    </row>
    <row r="10" spans="1:9" s="16" customFormat="1" ht="24.95" customHeight="1" x14ac:dyDescent="0.25">
      <c r="A10" s="73" t="s">
        <v>25</v>
      </c>
      <c r="B10" s="139">
        <f>ROWS('Taylor Creek'!A4:A6)</f>
        <v>3</v>
      </c>
      <c r="C10" s="140">
        <f>'Taylor Creek'!G7</f>
        <v>43780</v>
      </c>
      <c r="D10" s="166">
        <f>C10/43560</f>
        <v>1.005050505050505</v>
      </c>
      <c r="E10" s="332">
        <v>13</v>
      </c>
      <c r="F10" s="337" t="s">
        <v>0</v>
      </c>
      <c r="G10" s="141" t="s">
        <v>0</v>
      </c>
    </row>
    <row r="11" spans="1:9" s="16" customFormat="1" ht="24.95" customHeight="1" x14ac:dyDescent="0.25">
      <c r="A11" s="73" t="s">
        <v>26</v>
      </c>
      <c r="B11" s="74">
        <f>ROWS('Bull Creek'!A4:A8)</f>
        <v>5</v>
      </c>
      <c r="C11" s="75">
        <f>SUM('Bull Creek'!G9)</f>
        <v>89100.001295416499</v>
      </c>
      <c r="D11" s="167">
        <f t="shared" ref="D11:D19" si="1">C11/43560</f>
        <v>2.0454545751932161</v>
      </c>
      <c r="E11" s="333">
        <v>13</v>
      </c>
      <c r="F11" s="338" t="s">
        <v>0</v>
      </c>
      <c r="G11" s="82" t="s">
        <v>0</v>
      </c>
    </row>
    <row r="12" spans="1:9" s="16" customFormat="1" ht="24.95" customHeight="1" x14ac:dyDescent="0.25">
      <c r="A12" s="73" t="s">
        <v>27</v>
      </c>
      <c r="B12" s="74">
        <f>ROWS('Sawgrass Lake'!A4:A15)</f>
        <v>12</v>
      </c>
      <c r="C12" s="75">
        <f>'Sawgrass Lake'!G16</f>
        <v>1950</v>
      </c>
      <c r="D12" s="167">
        <f t="shared" si="1"/>
        <v>4.4765840220385676E-2</v>
      </c>
      <c r="E12" s="333">
        <v>13</v>
      </c>
      <c r="F12" s="338" t="s">
        <v>0</v>
      </c>
      <c r="G12" s="82" t="s">
        <v>0</v>
      </c>
    </row>
    <row r="13" spans="1:9" s="16" customFormat="1" ht="24.95" customHeight="1" x14ac:dyDescent="0.25">
      <c r="A13" s="73" t="s">
        <v>28</v>
      </c>
      <c r="B13" s="74">
        <v>36</v>
      </c>
      <c r="C13" s="75">
        <f>'Three Forks'!G37</f>
        <v>619330.0038862495</v>
      </c>
      <c r="D13" s="167">
        <f t="shared" si="1"/>
        <v>14.21786051162189</v>
      </c>
      <c r="E13" s="333">
        <v>13</v>
      </c>
      <c r="F13" s="338" t="s">
        <v>0</v>
      </c>
      <c r="G13" s="82" t="s">
        <v>0</v>
      </c>
    </row>
    <row r="14" spans="1:9" s="16" customFormat="1" ht="24.95" customHeight="1" x14ac:dyDescent="0.25">
      <c r="A14" s="73" t="s">
        <v>29</v>
      </c>
      <c r="B14" s="74">
        <f>ROWS('TM Goodwin'!B4:B26)</f>
        <v>23</v>
      </c>
      <c r="C14" s="75">
        <f>'TM Goodwin'!G27</f>
        <v>21250.007772499019</v>
      </c>
      <c r="D14" s="167">
        <f t="shared" si="1"/>
        <v>0.48783305262853577</v>
      </c>
      <c r="E14" s="333">
        <v>13</v>
      </c>
      <c r="F14" s="338" t="s">
        <v>0</v>
      </c>
      <c r="G14" s="82" t="s">
        <v>0</v>
      </c>
    </row>
    <row r="15" spans="1:9" s="16" customFormat="1" ht="24.95" customHeight="1" x14ac:dyDescent="0.25">
      <c r="A15" s="73" t="s">
        <v>30</v>
      </c>
      <c r="B15" s="74">
        <f>ROWS('C54'!A4:A32)</f>
        <v>29</v>
      </c>
      <c r="C15" s="75">
        <f>'C54'!G33</f>
        <v>264885.0012954165</v>
      </c>
      <c r="D15" s="167">
        <f t="shared" si="1"/>
        <v>6.0809228947524447</v>
      </c>
      <c r="E15" s="333">
        <v>13</v>
      </c>
      <c r="F15" s="338" t="s">
        <v>0</v>
      </c>
      <c r="G15" s="82" t="s">
        <v>0</v>
      </c>
    </row>
    <row r="16" spans="1:9" ht="24.95" customHeight="1" x14ac:dyDescent="0.25">
      <c r="A16" s="73" t="s">
        <v>31</v>
      </c>
      <c r="B16" s="74">
        <f>ROWS('Fellsmere WMA'!B4:B7)</f>
        <v>4</v>
      </c>
      <c r="C16" s="75">
        <f>'Fellsmere WMA'!G8</f>
        <v>239579.84999999998</v>
      </c>
      <c r="D16" s="167">
        <f t="shared" si="1"/>
        <v>5.4999965564738282</v>
      </c>
      <c r="E16" s="333">
        <v>13</v>
      </c>
      <c r="F16" s="338" t="s">
        <v>0</v>
      </c>
      <c r="G16" s="82" t="s">
        <v>0</v>
      </c>
    </row>
    <row r="17" spans="1:7" ht="24.95" customHeight="1" x14ac:dyDescent="0.25">
      <c r="A17" s="73" t="s">
        <v>32</v>
      </c>
      <c r="B17" s="74">
        <f>ROWS(Micco!A4:A16)</f>
        <v>13</v>
      </c>
      <c r="C17" s="75">
        <f>Micco!G17</f>
        <v>64950</v>
      </c>
      <c r="D17" s="167">
        <f t="shared" si="1"/>
        <v>1.4910468319559229</v>
      </c>
      <c r="E17" s="333">
        <v>13</v>
      </c>
      <c r="F17" s="338" t="s">
        <v>0</v>
      </c>
      <c r="G17" s="82" t="s">
        <v>0</v>
      </c>
    </row>
    <row r="18" spans="1:7" ht="24.95" customHeight="1" x14ac:dyDescent="0.25">
      <c r="A18" s="73" t="s">
        <v>33</v>
      </c>
      <c r="B18" s="74">
        <f>ROWS('Blue Cypress'!A4:A26)</f>
        <v>23</v>
      </c>
      <c r="C18" s="75">
        <f>'Blue Cypress'!G28</f>
        <v>75970.003886249498</v>
      </c>
      <c r="D18" s="167">
        <f t="shared" si="1"/>
        <v>1.744031310519961</v>
      </c>
      <c r="E18" s="333">
        <v>13</v>
      </c>
      <c r="F18" s="338" t="s">
        <v>0</v>
      </c>
      <c r="G18" s="82" t="s">
        <v>0</v>
      </c>
    </row>
    <row r="19" spans="1:7" ht="24.95" customHeight="1" thickBot="1" x14ac:dyDescent="0.3">
      <c r="A19" s="76" t="s">
        <v>313</v>
      </c>
      <c r="B19" s="77">
        <f>ROWS('FT. Drum'!B4:B24)</f>
        <v>21</v>
      </c>
      <c r="C19" s="78">
        <f>'FT. Drum'!G25</f>
        <v>132073.0012954165</v>
      </c>
      <c r="D19" s="262">
        <f t="shared" si="1"/>
        <v>3.0319789094448231</v>
      </c>
      <c r="E19" s="334">
        <v>13</v>
      </c>
      <c r="F19" s="339" t="s">
        <v>0</v>
      </c>
      <c r="G19" s="83" t="s">
        <v>0</v>
      </c>
    </row>
    <row r="20" spans="1:7" ht="25.9" customHeight="1" thickBot="1" x14ac:dyDescent="0.3">
      <c r="A20" s="259" t="s">
        <v>279</v>
      </c>
      <c r="B20" s="79"/>
      <c r="C20" s="80">
        <f>SUM(C5:C19)</f>
        <v>1987094.3894312475</v>
      </c>
      <c r="D20" s="81">
        <f>SUM(D5:D19)</f>
        <v>45.617410225694385</v>
      </c>
      <c r="E20" s="327"/>
      <c r="F20" s="328" t="s">
        <v>280</v>
      </c>
      <c r="G20" s="260"/>
    </row>
    <row r="21" spans="1:7" ht="25.5" customHeight="1" thickBot="1" x14ac:dyDescent="0.3">
      <c r="F21" s="329" t="s">
        <v>330</v>
      </c>
      <c r="G21" s="330"/>
    </row>
  </sheetData>
  <mergeCells count="2">
    <mergeCell ref="A2:G2"/>
    <mergeCell ref="A1:G1"/>
  </mergeCells>
  <phoneticPr fontId="15" type="noConversion"/>
  <printOptions horizontalCentered="1"/>
  <pageMargins left="0.25" right="0.25" top="0.75" bottom="0.75" header="0.3" footer="0.3"/>
  <pageSetup scale="9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8"/>
  <sheetViews>
    <sheetView workbookViewId="0">
      <pane ySplit="3" topLeftCell="A4" activePane="bottomLeft" state="frozen"/>
      <selection activeCell="E5" sqref="E5"/>
      <selection pane="bottomLeft" activeCell="A2" sqref="A2:H2"/>
    </sheetView>
  </sheetViews>
  <sheetFormatPr defaultRowHeight="15" x14ac:dyDescent="0.25"/>
  <cols>
    <col min="1" max="1" width="12.85546875" style="292" customWidth="1"/>
    <col min="2" max="2" width="12.85546875" style="306" customWidth="1"/>
    <col min="3" max="3" width="20.5703125" style="292" customWidth="1"/>
    <col min="4" max="4" width="21.7109375" style="292" customWidth="1"/>
    <col min="5" max="5" width="27.42578125" style="320" bestFit="1" customWidth="1"/>
    <col min="6" max="6" width="21.7109375" style="292" customWidth="1"/>
    <col min="7" max="7" width="10.85546875" style="292" customWidth="1"/>
    <col min="8" max="8" width="13.28515625" style="292" customWidth="1"/>
    <col min="9" max="10" width="12.7109375" style="292" customWidth="1"/>
    <col min="11" max="16384" width="9.140625" style="292"/>
  </cols>
  <sheetData>
    <row r="1" spans="1:9" ht="28.5" customHeight="1" x14ac:dyDescent="0.25">
      <c r="A1" s="343" t="s">
        <v>267</v>
      </c>
      <c r="B1" s="343"/>
      <c r="C1" s="343"/>
      <c r="D1" s="343"/>
      <c r="E1" s="343"/>
      <c r="F1" s="343"/>
      <c r="G1" s="343"/>
      <c r="H1" s="343"/>
    </row>
    <row r="2" spans="1:9" ht="19.5" customHeight="1" thickBot="1" x14ac:dyDescent="0.3">
      <c r="A2" s="344" t="s">
        <v>265</v>
      </c>
      <c r="B2" s="344"/>
      <c r="C2" s="344"/>
      <c r="D2" s="344"/>
      <c r="E2" s="344"/>
      <c r="F2" s="344"/>
      <c r="G2" s="344"/>
      <c r="H2" s="344"/>
    </row>
    <row r="3" spans="1:9" s="298" customFormat="1" ht="39" thickBot="1" x14ac:dyDescent="0.3">
      <c r="A3" s="293" t="s">
        <v>2</v>
      </c>
      <c r="B3" s="294" t="s">
        <v>264</v>
      </c>
      <c r="C3" s="295" t="s">
        <v>3</v>
      </c>
      <c r="D3" s="295" t="s">
        <v>4</v>
      </c>
      <c r="E3" s="295" t="s">
        <v>9</v>
      </c>
      <c r="F3" s="296" t="s">
        <v>5</v>
      </c>
      <c r="G3" s="296" t="s">
        <v>10</v>
      </c>
      <c r="H3" s="297" t="s">
        <v>314</v>
      </c>
    </row>
    <row r="4" spans="1:9" s="302" customFormat="1" ht="25.5" x14ac:dyDescent="0.25">
      <c r="A4" s="213" t="s">
        <v>84</v>
      </c>
      <c r="B4" s="214">
        <v>7</v>
      </c>
      <c r="C4" s="58" t="s">
        <v>76</v>
      </c>
      <c r="D4" s="58" t="s">
        <v>281</v>
      </c>
      <c r="E4" s="58" t="s">
        <v>272</v>
      </c>
      <c r="F4" s="214" t="s">
        <v>282</v>
      </c>
      <c r="G4" s="299">
        <f>50*10</f>
        <v>500</v>
      </c>
      <c r="H4" s="300">
        <v>13</v>
      </c>
      <c r="I4" s="301"/>
    </row>
    <row r="5" spans="1:9" s="302" customFormat="1" ht="25.5" x14ac:dyDescent="0.25">
      <c r="A5" s="216" t="s">
        <v>85</v>
      </c>
      <c r="B5" s="131">
        <v>7</v>
      </c>
      <c r="C5" s="56" t="s">
        <v>76</v>
      </c>
      <c r="D5" s="56" t="s">
        <v>281</v>
      </c>
      <c r="E5" s="56" t="s">
        <v>272</v>
      </c>
      <c r="F5" s="95" t="s">
        <v>282</v>
      </c>
      <c r="G5" s="303">
        <v>120</v>
      </c>
      <c r="H5" s="283">
        <v>13</v>
      </c>
      <c r="I5" s="301"/>
    </row>
    <row r="6" spans="1:9" s="302" customFormat="1" ht="24" customHeight="1" x14ac:dyDescent="0.25">
      <c r="A6" s="273" t="s">
        <v>58</v>
      </c>
      <c r="B6" s="131">
        <v>4</v>
      </c>
      <c r="C6" s="96" t="s">
        <v>12</v>
      </c>
      <c r="D6" s="56" t="s">
        <v>281</v>
      </c>
      <c r="E6" s="56" t="s">
        <v>272</v>
      </c>
      <c r="F6" s="95" t="s">
        <v>282</v>
      </c>
      <c r="G6" s="304">
        <f>(5.0463*5.0463)*3.1416</f>
        <v>80.001295416503979</v>
      </c>
      <c r="H6" s="283">
        <v>13</v>
      </c>
      <c r="I6" s="301"/>
    </row>
    <row r="7" spans="1:9" s="302" customFormat="1" ht="25.5" x14ac:dyDescent="0.25">
      <c r="A7" s="216" t="s">
        <v>62</v>
      </c>
      <c r="B7" s="96">
        <v>5</v>
      </c>
      <c r="C7" s="96" t="s">
        <v>6</v>
      </c>
      <c r="D7" s="56" t="s">
        <v>281</v>
      </c>
      <c r="E7" s="274" t="s">
        <v>271</v>
      </c>
      <c r="F7" s="59" t="s">
        <v>63</v>
      </c>
      <c r="G7" s="86">
        <v>350000</v>
      </c>
      <c r="H7" s="283">
        <v>13</v>
      </c>
      <c r="I7" s="302">
        <f>SUM(G7)/43560</f>
        <v>8.0348943985307617</v>
      </c>
    </row>
    <row r="8" spans="1:9" s="302" customFormat="1" ht="30" customHeight="1" x14ac:dyDescent="0.25">
      <c r="A8" s="216" t="s">
        <v>72</v>
      </c>
      <c r="B8" s="96">
        <v>1</v>
      </c>
      <c r="C8" s="56" t="s">
        <v>76</v>
      </c>
      <c r="D8" s="56" t="s">
        <v>281</v>
      </c>
      <c r="E8" s="56" t="s">
        <v>272</v>
      </c>
      <c r="F8" s="59" t="s">
        <v>286</v>
      </c>
      <c r="G8" s="304">
        <f>220*10</f>
        <v>2200</v>
      </c>
      <c r="H8" s="283">
        <v>13</v>
      </c>
      <c r="I8" s="305"/>
    </row>
    <row r="9" spans="1:9" s="302" customFormat="1" ht="24" customHeight="1" x14ac:dyDescent="0.25">
      <c r="A9" s="216" t="s">
        <v>86</v>
      </c>
      <c r="B9" s="95">
        <v>7</v>
      </c>
      <c r="C9" s="59" t="s">
        <v>1</v>
      </c>
      <c r="D9" s="56" t="s">
        <v>281</v>
      </c>
      <c r="E9" s="56" t="s">
        <v>272</v>
      </c>
      <c r="F9" s="95" t="s">
        <v>287</v>
      </c>
      <c r="G9" s="86">
        <f>100*10</f>
        <v>1000</v>
      </c>
      <c r="H9" s="283">
        <v>13</v>
      </c>
      <c r="I9" s="301"/>
    </row>
    <row r="10" spans="1:9" s="306" customFormat="1" ht="22.5" customHeight="1" x14ac:dyDescent="0.25">
      <c r="A10" s="216" t="s">
        <v>87</v>
      </c>
      <c r="B10" s="96">
        <v>7</v>
      </c>
      <c r="C10" s="56" t="s">
        <v>11</v>
      </c>
      <c r="D10" s="56" t="s">
        <v>281</v>
      </c>
      <c r="E10" s="274" t="s">
        <v>271</v>
      </c>
      <c r="F10" s="274" t="s">
        <v>101</v>
      </c>
      <c r="G10" s="87">
        <f>90*165</f>
        <v>14850</v>
      </c>
      <c r="H10" s="283">
        <v>13</v>
      </c>
    </row>
    <row r="11" spans="1:9" s="302" customFormat="1" ht="25.5" x14ac:dyDescent="0.25">
      <c r="A11" s="216" t="s">
        <v>64</v>
      </c>
      <c r="B11" s="96">
        <v>6</v>
      </c>
      <c r="C11" s="56" t="s">
        <v>76</v>
      </c>
      <c r="D11" s="56" t="s">
        <v>281</v>
      </c>
      <c r="E11" s="56" t="s">
        <v>272</v>
      </c>
      <c r="F11" s="95" t="s">
        <v>282</v>
      </c>
      <c r="G11" s="87">
        <f>100*10</f>
        <v>1000</v>
      </c>
      <c r="H11" s="283">
        <v>13</v>
      </c>
      <c r="I11" s="301"/>
    </row>
    <row r="12" spans="1:9" s="302" customFormat="1" ht="25.5" x14ac:dyDescent="0.25">
      <c r="A12" s="216" t="s">
        <v>65</v>
      </c>
      <c r="B12" s="96">
        <v>6</v>
      </c>
      <c r="C12" s="56" t="s">
        <v>76</v>
      </c>
      <c r="D12" s="56" t="s">
        <v>281</v>
      </c>
      <c r="E12" s="56" t="s">
        <v>272</v>
      </c>
      <c r="F12" s="95" t="s">
        <v>287</v>
      </c>
      <c r="G12" s="86">
        <f>100*10</f>
        <v>1000</v>
      </c>
      <c r="H12" s="283">
        <v>13</v>
      </c>
      <c r="I12" s="301"/>
    </row>
    <row r="13" spans="1:9" s="302" customFormat="1" ht="24" customHeight="1" x14ac:dyDescent="0.25">
      <c r="A13" s="216" t="s">
        <v>66</v>
      </c>
      <c r="B13" s="96">
        <v>5</v>
      </c>
      <c r="C13" s="96" t="s">
        <v>1</v>
      </c>
      <c r="D13" s="56" t="s">
        <v>281</v>
      </c>
      <c r="E13" s="56" t="s">
        <v>272</v>
      </c>
      <c r="F13" s="95" t="s">
        <v>282</v>
      </c>
      <c r="G13" s="86">
        <f>100*10</f>
        <v>1000</v>
      </c>
      <c r="H13" s="283">
        <v>13</v>
      </c>
      <c r="I13" s="301"/>
    </row>
    <row r="14" spans="1:9" s="302" customFormat="1" ht="24" customHeight="1" x14ac:dyDescent="0.25">
      <c r="A14" s="216" t="s">
        <v>67</v>
      </c>
      <c r="B14" s="96">
        <v>5</v>
      </c>
      <c r="C14" s="96" t="s">
        <v>1</v>
      </c>
      <c r="D14" s="56" t="s">
        <v>281</v>
      </c>
      <c r="E14" s="56" t="s">
        <v>272</v>
      </c>
      <c r="F14" s="95" t="s">
        <v>282</v>
      </c>
      <c r="G14" s="86">
        <f>50*10</f>
        <v>500</v>
      </c>
      <c r="H14" s="283">
        <v>13</v>
      </c>
      <c r="I14" s="301"/>
    </row>
    <row r="15" spans="1:9" s="302" customFormat="1" ht="24" customHeight="1" x14ac:dyDescent="0.25">
      <c r="A15" s="216" t="s">
        <v>68</v>
      </c>
      <c r="B15" s="96">
        <v>3</v>
      </c>
      <c r="C15" s="96" t="s">
        <v>17</v>
      </c>
      <c r="D15" s="56" t="s">
        <v>281</v>
      </c>
      <c r="E15" s="56" t="s">
        <v>272</v>
      </c>
      <c r="F15" s="95" t="s">
        <v>282</v>
      </c>
      <c r="G15" s="87">
        <f>(25*30)*2</f>
        <v>1500</v>
      </c>
      <c r="H15" s="283">
        <v>13</v>
      </c>
      <c r="I15" s="301"/>
    </row>
    <row r="16" spans="1:9" s="306" customFormat="1" ht="24" customHeight="1" x14ac:dyDescent="0.25">
      <c r="A16" s="216" t="s">
        <v>73</v>
      </c>
      <c r="B16" s="96">
        <v>1</v>
      </c>
      <c r="C16" s="96" t="s">
        <v>19</v>
      </c>
      <c r="D16" s="56" t="s">
        <v>281</v>
      </c>
      <c r="E16" s="56" t="s">
        <v>272</v>
      </c>
      <c r="F16" s="96" t="s">
        <v>282</v>
      </c>
      <c r="G16" s="87">
        <f>(150*5)*2</f>
        <v>1500</v>
      </c>
      <c r="H16" s="283">
        <v>13</v>
      </c>
      <c r="I16" s="307"/>
    </row>
    <row r="17" spans="1:9" s="306" customFormat="1" ht="24" customHeight="1" x14ac:dyDescent="0.25">
      <c r="A17" s="216" t="s">
        <v>317</v>
      </c>
      <c r="B17" s="96" t="s">
        <v>326</v>
      </c>
      <c r="C17" s="56" t="s">
        <v>318</v>
      </c>
      <c r="D17" s="56" t="s">
        <v>281</v>
      </c>
      <c r="E17" s="56" t="s">
        <v>272</v>
      </c>
      <c r="F17" s="56" t="s">
        <v>132</v>
      </c>
      <c r="G17" s="279">
        <v>1500</v>
      </c>
      <c r="H17" s="280">
        <v>13</v>
      </c>
      <c r="I17" s="307"/>
    </row>
    <row r="18" spans="1:9" s="306" customFormat="1" ht="24" customHeight="1" x14ac:dyDescent="0.25">
      <c r="A18" s="216" t="s">
        <v>319</v>
      </c>
      <c r="B18" s="96" t="s">
        <v>326</v>
      </c>
      <c r="C18" s="96" t="s">
        <v>54</v>
      </c>
      <c r="D18" s="56" t="s">
        <v>281</v>
      </c>
      <c r="E18" s="56" t="s">
        <v>272</v>
      </c>
      <c r="F18" s="96" t="s">
        <v>282</v>
      </c>
      <c r="G18" s="279">
        <f>15*15</f>
        <v>225</v>
      </c>
      <c r="H18" s="280">
        <v>13</v>
      </c>
      <c r="I18" s="307"/>
    </row>
    <row r="19" spans="1:9" s="298" customFormat="1" ht="24" customHeight="1" x14ac:dyDescent="0.25">
      <c r="A19" s="240" t="s">
        <v>88</v>
      </c>
      <c r="B19" s="95">
        <v>7</v>
      </c>
      <c r="C19" s="59" t="s">
        <v>14</v>
      </c>
      <c r="D19" s="59" t="s">
        <v>281</v>
      </c>
      <c r="E19" s="308" t="s">
        <v>271</v>
      </c>
      <c r="F19" s="308" t="s">
        <v>102</v>
      </c>
      <c r="G19" s="86">
        <f>125*160</f>
        <v>20000</v>
      </c>
      <c r="H19" s="283">
        <v>13</v>
      </c>
    </row>
    <row r="20" spans="1:9" s="302" customFormat="1" ht="24" customHeight="1" x14ac:dyDescent="0.25">
      <c r="A20" s="216" t="s">
        <v>89</v>
      </c>
      <c r="B20" s="96">
        <v>9</v>
      </c>
      <c r="C20" s="56" t="s">
        <v>94</v>
      </c>
      <c r="D20" s="56" t="s">
        <v>281</v>
      </c>
      <c r="E20" s="274" t="s">
        <v>271</v>
      </c>
      <c r="F20" s="56" t="s">
        <v>103</v>
      </c>
      <c r="G20" s="87">
        <f>(30*50)+(20*70)+(300*5)+(20*5)*3</f>
        <v>4700</v>
      </c>
      <c r="H20" s="283">
        <v>13</v>
      </c>
    </row>
    <row r="21" spans="1:9" s="302" customFormat="1" ht="24" customHeight="1" x14ac:dyDescent="0.25">
      <c r="A21" s="216" t="s">
        <v>90</v>
      </c>
      <c r="B21" s="96">
        <v>9</v>
      </c>
      <c r="C21" s="56" t="s">
        <v>95</v>
      </c>
      <c r="D21" s="56" t="s">
        <v>281</v>
      </c>
      <c r="E21" s="274" t="s">
        <v>271</v>
      </c>
      <c r="F21" s="56" t="s">
        <v>103</v>
      </c>
      <c r="G21" s="87">
        <f>(30*50)+(20*70)+(300*5)+(20*5)*3</f>
        <v>4700</v>
      </c>
      <c r="H21" s="283">
        <v>13</v>
      </c>
    </row>
    <row r="22" spans="1:9" s="302" customFormat="1" ht="22.9" customHeight="1" x14ac:dyDescent="0.25">
      <c r="A22" s="216" t="s">
        <v>91</v>
      </c>
      <c r="B22" s="131">
        <v>10</v>
      </c>
      <c r="C22" s="56" t="s">
        <v>96</v>
      </c>
      <c r="D22" s="56" t="s">
        <v>281</v>
      </c>
      <c r="E22" s="274" t="s">
        <v>271</v>
      </c>
      <c r="F22" s="56" t="s">
        <v>103</v>
      </c>
      <c r="G22" s="87">
        <f>(30*50)+(20*70)+(300*5)+(20*5)*3</f>
        <v>4700</v>
      </c>
      <c r="H22" s="283">
        <v>13</v>
      </c>
    </row>
    <row r="23" spans="1:9" s="311" customFormat="1" ht="25.5" x14ac:dyDescent="0.25">
      <c r="A23" s="309" t="s">
        <v>57</v>
      </c>
      <c r="B23" s="310" t="s">
        <v>283</v>
      </c>
      <c r="C23" s="125" t="s">
        <v>16</v>
      </c>
      <c r="D23" s="56" t="s">
        <v>281</v>
      </c>
      <c r="E23" s="274" t="s">
        <v>271</v>
      </c>
      <c r="F23" s="56" t="s">
        <v>98</v>
      </c>
      <c r="G23" s="126">
        <v>43560</v>
      </c>
      <c r="H23" s="283">
        <v>13</v>
      </c>
    </row>
    <row r="24" spans="1:9" s="311" customFormat="1" ht="21.6" customHeight="1" x14ac:dyDescent="0.25">
      <c r="A24" s="216" t="s">
        <v>61</v>
      </c>
      <c r="B24" s="96">
        <v>4</v>
      </c>
      <c r="C24" s="56" t="s">
        <v>20</v>
      </c>
      <c r="D24" s="56" t="s">
        <v>281</v>
      </c>
      <c r="E24" s="274" t="s">
        <v>271</v>
      </c>
      <c r="F24" s="56" t="s">
        <v>99</v>
      </c>
      <c r="G24" s="87">
        <v>43560</v>
      </c>
      <c r="H24" s="283">
        <v>13</v>
      </c>
    </row>
    <row r="25" spans="1:9" s="311" customFormat="1" ht="25.5" x14ac:dyDescent="0.25">
      <c r="A25" s="216" t="s">
        <v>74</v>
      </c>
      <c r="B25" s="96">
        <v>2</v>
      </c>
      <c r="C25" s="96" t="s">
        <v>16</v>
      </c>
      <c r="D25" s="56" t="s">
        <v>281</v>
      </c>
      <c r="E25" s="274" t="s">
        <v>271</v>
      </c>
      <c r="F25" s="56" t="s">
        <v>98</v>
      </c>
      <c r="G25" s="87">
        <v>43560</v>
      </c>
      <c r="H25" s="283">
        <v>13</v>
      </c>
    </row>
    <row r="26" spans="1:9" s="311" customFormat="1" ht="25.5" x14ac:dyDescent="0.25">
      <c r="A26" s="218" t="s">
        <v>75</v>
      </c>
      <c r="B26" s="125">
        <v>1</v>
      </c>
      <c r="C26" s="57" t="s">
        <v>77</v>
      </c>
      <c r="D26" s="56" t="s">
        <v>281</v>
      </c>
      <c r="E26" s="312" t="s">
        <v>271</v>
      </c>
      <c r="F26" s="308" t="s">
        <v>100</v>
      </c>
      <c r="G26" s="126">
        <v>43560</v>
      </c>
      <c r="H26" s="283">
        <v>13</v>
      </c>
    </row>
    <row r="27" spans="1:9" s="302" customFormat="1" ht="24" customHeight="1" x14ac:dyDescent="0.25">
      <c r="A27" s="273" t="s">
        <v>69</v>
      </c>
      <c r="B27" s="131">
        <v>1</v>
      </c>
      <c r="C27" s="96" t="s">
        <v>12</v>
      </c>
      <c r="D27" s="56" t="s">
        <v>281</v>
      </c>
      <c r="E27" s="56" t="s">
        <v>272</v>
      </c>
      <c r="F27" s="95" t="s">
        <v>282</v>
      </c>
      <c r="G27" s="87">
        <f>(5.0463*5.0463)*3.1416</f>
        <v>80.001295416503979</v>
      </c>
      <c r="H27" s="283">
        <v>13</v>
      </c>
      <c r="I27" s="301"/>
    </row>
    <row r="28" spans="1:9" s="302" customFormat="1" ht="24" customHeight="1" x14ac:dyDescent="0.25">
      <c r="A28" s="273" t="s">
        <v>70</v>
      </c>
      <c r="B28" s="131">
        <v>2</v>
      </c>
      <c r="C28" s="96" t="s">
        <v>12</v>
      </c>
      <c r="D28" s="56" t="s">
        <v>281</v>
      </c>
      <c r="E28" s="56" t="s">
        <v>272</v>
      </c>
      <c r="F28" s="95" t="s">
        <v>282</v>
      </c>
      <c r="G28" s="87">
        <f>(5.0463*5.0463)*3.1416</f>
        <v>80.001295416503979</v>
      </c>
      <c r="H28" s="283">
        <v>13</v>
      </c>
      <c r="I28" s="301"/>
    </row>
    <row r="29" spans="1:9" s="302" customFormat="1" ht="24" customHeight="1" x14ac:dyDescent="0.25">
      <c r="A29" s="273" t="s">
        <v>71</v>
      </c>
      <c r="B29" s="131">
        <v>2</v>
      </c>
      <c r="C29" s="96" t="s">
        <v>54</v>
      </c>
      <c r="D29" s="56" t="s">
        <v>281</v>
      </c>
      <c r="E29" s="56" t="s">
        <v>272</v>
      </c>
      <c r="F29" s="95" t="s">
        <v>282</v>
      </c>
      <c r="G29" s="303">
        <f t="shared" ref="G29" si="0">15*15</f>
        <v>225</v>
      </c>
      <c r="H29" s="283">
        <v>13</v>
      </c>
      <c r="I29" s="301"/>
    </row>
    <row r="30" spans="1:9" s="302" customFormat="1" ht="24" customHeight="1" x14ac:dyDescent="0.25">
      <c r="A30" s="313" t="s">
        <v>56</v>
      </c>
      <c r="B30" s="56" t="s">
        <v>283</v>
      </c>
      <c r="C30" s="96" t="s">
        <v>54</v>
      </c>
      <c r="D30" s="56" t="s">
        <v>281</v>
      </c>
      <c r="E30" s="56" t="s">
        <v>272</v>
      </c>
      <c r="F30" s="95" t="s">
        <v>288</v>
      </c>
      <c r="G30" s="303">
        <v>0</v>
      </c>
      <c r="H30" s="283">
        <v>13</v>
      </c>
      <c r="I30" s="301"/>
    </row>
    <row r="31" spans="1:9" s="302" customFormat="1" ht="24" customHeight="1" x14ac:dyDescent="0.25">
      <c r="A31" s="273" t="s">
        <v>59</v>
      </c>
      <c r="B31" s="131">
        <v>4</v>
      </c>
      <c r="C31" s="56" t="s">
        <v>20</v>
      </c>
      <c r="D31" s="56" t="s">
        <v>281</v>
      </c>
      <c r="E31" s="56" t="s">
        <v>272</v>
      </c>
      <c r="F31" s="95" t="s">
        <v>282</v>
      </c>
      <c r="G31" s="303">
        <f>15*15</f>
        <v>225</v>
      </c>
      <c r="H31" s="283">
        <v>13</v>
      </c>
      <c r="I31" s="301"/>
    </row>
    <row r="32" spans="1:9" s="302" customFormat="1" ht="24" customHeight="1" x14ac:dyDescent="0.25">
      <c r="A32" s="273" t="s">
        <v>60</v>
      </c>
      <c r="B32" s="131">
        <v>4</v>
      </c>
      <c r="C32" s="96" t="s">
        <v>15</v>
      </c>
      <c r="D32" s="56" t="s">
        <v>281</v>
      </c>
      <c r="E32" s="56" t="s">
        <v>272</v>
      </c>
      <c r="F32" s="95" t="s">
        <v>282</v>
      </c>
      <c r="G32" s="303">
        <f>15*15</f>
        <v>225</v>
      </c>
      <c r="H32" s="283">
        <v>13</v>
      </c>
      <c r="I32" s="301"/>
    </row>
    <row r="33" spans="1:9" s="285" customFormat="1" ht="23.45" customHeight="1" x14ac:dyDescent="0.25">
      <c r="A33" s="216" t="s">
        <v>92</v>
      </c>
      <c r="B33" s="131">
        <v>8</v>
      </c>
      <c r="C33" s="56" t="s">
        <v>97</v>
      </c>
      <c r="D33" s="56" t="s">
        <v>281</v>
      </c>
      <c r="E33" s="274" t="s">
        <v>271</v>
      </c>
      <c r="F33" s="56" t="s">
        <v>104</v>
      </c>
      <c r="G33" s="87">
        <v>6600</v>
      </c>
      <c r="H33" s="283">
        <v>13</v>
      </c>
      <c r="I33" s="284"/>
    </row>
    <row r="34" spans="1:9" s="285" customFormat="1" ht="23.45" customHeight="1" x14ac:dyDescent="0.25">
      <c r="A34" s="216" t="s">
        <v>93</v>
      </c>
      <c r="B34" s="96">
        <v>7</v>
      </c>
      <c r="C34" s="56" t="s">
        <v>285</v>
      </c>
      <c r="D34" s="56" t="s">
        <v>281</v>
      </c>
      <c r="E34" s="274" t="s">
        <v>271</v>
      </c>
      <c r="F34" s="56" t="s">
        <v>103</v>
      </c>
      <c r="G34" s="87">
        <v>21780</v>
      </c>
      <c r="H34" s="283">
        <v>13</v>
      </c>
      <c r="I34" s="284"/>
    </row>
    <row r="35" spans="1:9" s="285" customFormat="1" ht="23.45" customHeight="1" x14ac:dyDescent="0.25">
      <c r="A35" s="286" t="s">
        <v>316</v>
      </c>
      <c r="B35" s="96" t="s">
        <v>326</v>
      </c>
      <c r="C35" s="96" t="s">
        <v>18</v>
      </c>
      <c r="D35" s="56" t="s">
        <v>281</v>
      </c>
      <c r="E35" s="56" t="s">
        <v>271</v>
      </c>
      <c r="F35" s="96" t="s">
        <v>282</v>
      </c>
      <c r="G35" s="279">
        <v>2000</v>
      </c>
      <c r="H35" s="280">
        <v>13</v>
      </c>
      <c r="I35" s="284"/>
    </row>
    <row r="36" spans="1:9" s="285" customFormat="1" ht="23.45" customHeight="1" thickBot="1" x14ac:dyDescent="0.3">
      <c r="A36" s="287" t="s">
        <v>325</v>
      </c>
      <c r="B36" s="251">
        <v>5</v>
      </c>
      <c r="C36" s="288" t="s">
        <v>18</v>
      </c>
      <c r="D36" s="289" t="s">
        <v>281</v>
      </c>
      <c r="E36" s="289" t="s">
        <v>271</v>
      </c>
      <c r="F36" s="288" t="s">
        <v>282</v>
      </c>
      <c r="G36" s="290">
        <v>2800</v>
      </c>
      <c r="H36" s="291">
        <v>13</v>
      </c>
      <c r="I36" s="284"/>
    </row>
    <row r="37" spans="1:9" ht="21.75" customHeight="1" thickBot="1" x14ac:dyDescent="0.3">
      <c r="A37" s="314"/>
      <c r="B37" s="315"/>
      <c r="C37" s="316"/>
      <c r="D37" s="316"/>
      <c r="E37" s="317"/>
      <c r="F37" s="318" t="s">
        <v>23</v>
      </c>
      <c r="G37" s="272">
        <f>SUM(G4:G36)</f>
        <v>619330.0038862495</v>
      </c>
      <c r="H37" s="319"/>
    </row>
    <row r="40" spans="1:9" x14ac:dyDescent="0.25">
      <c r="A40" s="97"/>
      <c r="C40" s="345"/>
    </row>
    <row r="41" spans="1:9" x14ac:dyDescent="0.25">
      <c r="A41" s="321"/>
      <c r="C41" s="345"/>
    </row>
    <row r="42" spans="1:9" x14ac:dyDescent="0.25">
      <c r="A42" s="321"/>
      <c r="C42" s="345"/>
    </row>
    <row r="43" spans="1:9" x14ac:dyDescent="0.25">
      <c r="A43" s="321"/>
      <c r="C43" s="345"/>
    </row>
    <row r="44" spans="1:9" x14ac:dyDescent="0.25">
      <c r="A44" s="321"/>
      <c r="C44" s="345"/>
    </row>
    <row r="45" spans="1:9" x14ac:dyDescent="0.25">
      <c r="A45" s="321"/>
      <c r="C45" s="345"/>
    </row>
    <row r="46" spans="1:9" x14ac:dyDescent="0.25">
      <c r="A46" s="321"/>
      <c r="C46" s="345"/>
    </row>
    <row r="47" spans="1:9" x14ac:dyDescent="0.25">
      <c r="A47" s="321"/>
      <c r="C47" s="345"/>
    </row>
    <row r="48" spans="1:9" x14ac:dyDescent="0.25">
      <c r="A48" s="321"/>
    </row>
  </sheetData>
  <sortState xmlns:xlrd2="http://schemas.microsoft.com/office/spreadsheetml/2017/richdata2" ref="A4:H34">
    <sortCondition ref="A4:A34"/>
  </sortState>
  <mergeCells count="3">
    <mergeCell ref="A1:H1"/>
    <mergeCell ref="A2:H2"/>
    <mergeCell ref="C40:C47"/>
  </mergeCells>
  <phoneticPr fontId="15" type="noConversion"/>
  <pageMargins left="0.7" right="0.7" top="0.5" bottom="0.49" header="0.3" footer="0.3"/>
  <pageSetup scale="5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0"/>
  <sheetViews>
    <sheetView workbookViewId="0">
      <selection activeCell="E5" sqref="E5"/>
    </sheetView>
  </sheetViews>
  <sheetFormatPr defaultRowHeight="15" x14ac:dyDescent="0.25"/>
  <cols>
    <col min="1" max="1" width="12.85546875" customWidth="1"/>
    <col min="2" max="2" width="12.7109375" style="101" customWidth="1"/>
    <col min="3" max="3" width="21.42578125" customWidth="1"/>
    <col min="4" max="4" width="19.7109375" style="15" customWidth="1"/>
    <col min="5" max="5" width="21" customWidth="1"/>
    <col min="6" max="6" width="21.7109375" customWidth="1"/>
    <col min="7" max="8" width="11.85546875" customWidth="1"/>
  </cols>
  <sheetData>
    <row r="1" spans="1:8" ht="28.5" customHeight="1" x14ac:dyDescent="0.25">
      <c r="A1" s="341" t="s">
        <v>303</v>
      </c>
      <c r="B1" s="341"/>
      <c r="C1" s="341"/>
      <c r="D1" s="341"/>
      <c r="E1" s="341"/>
      <c r="F1" s="341"/>
      <c r="G1" s="341"/>
      <c r="H1" s="341"/>
    </row>
    <row r="2" spans="1:8" ht="19.5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8" s="24" customFormat="1" ht="39" thickBot="1" x14ac:dyDescent="0.25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8" s="12" customFormat="1" ht="24" customHeight="1" x14ac:dyDescent="0.25">
      <c r="A4" s="222" t="s">
        <v>113</v>
      </c>
      <c r="B4" s="223" t="s">
        <v>284</v>
      </c>
      <c r="C4" s="206" t="s">
        <v>130</v>
      </c>
      <c r="D4" s="91" t="s">
        <v>281</v>
      </c>
      <c r="E4" s="45" t="s">
        <v>272</v>
      </c>
      <c r="F4" s="45" t="s">
        <v>282</v>
      </c>
      <c r="G4" s="183">
        <f>22*10</f>
        <v>220</v>
      </c>
      <c r="H4" s="215">
        <v>13</v>
      </c>
    </row>
    <row r="5" spans="1:8" s="12" customFormat="1" ht="24" customHeight="1" x14ac:dyDescent="0.25">
      <c r="A5" s="220" t="s">
        <v>106</v>
      </c>
      <c r="B5" s="143" t="s">
        <v>284</v>
      </c>
      <c r="C5" s="10" t="s">
        <v>1</v>
      </c>
      <c r="D5" s="10" t="s">
        <v>281</v>
      </c>
      <c r="E5" s="23" t="s">
        <v>271</v>
      </c>
      <c r="F5" s="18" t="s">
        <v>282</v>
      </c>
      <c r="G5" s="144">
        <f>220*10</f>
        <v>2200</v>
      </c>
      <c r="H5" s="217">
        <v>13</v>
      </c>
    </row>
    <row r="6" spans="1:8" s="158" customFormat="1" ht="24" hidden="1" customHeight="1" x14ac:dyDescent="0.25">
      <c r="A6" s="224" t="s">
        <v>117</v>
      </c>
      <c r="B6" s="159">
        <v>3</v>
      </c>
      <c r="C6" s="149" t="s">
        <v>11</v>
      </c>
      <c r="D6" s="149" t="s">
        <v>281</v>
      </c>
      <c r="E6" s="150" t="s">
        <v>271</v>
      </c>
      <c r="F6" s="152" t="s">
        <v>282</v>
      </c>
      <c r="G6" s="160">
        <v>0</v>
      </c>
      <c r="H6" s="221">
        <v>13</v>
      </c>
    </row>
    <row r="7" spans="1:8" s="158" customFormat="1" ht="24" hidden="1" customHeight="1" x14ac:dyDescent="0.25">
      <c r="A7" s="224" t="s">
        <v>118</v>
      </c>
      <c r="B7" s="159">
        <v>4</v>
      </c>
      <c r="C7" s="149" t="s">
        <v>11</v>
      </c>
      <c r="D7" s="149" t="s">
        <v>281</v>
      </c>
      <c r="E7" s="150" t="s">
        <v>271</v>
      </c>
      <c r="F7" s="152" t="s">
        <v>282</v>
      </c>
      <c r="G7" s="160">
        <v>0</v>
      </c>
      <c r="H7" s="221">
        <v>13</v>
      </c>
    </row>
    <row r="8" spans="1:8" s="158" customFormat="1" ht="24" hidden="1" customHeight="1" x14ac:dyDescent="0.25">
      <c r="A8" s="224" t="s">
        <v>119</v>
      </c>
      <c r="B8" s="159">
        <v>5</v>
      </c>
      <c r="C8" s="149" t="s">
        <v>11</v>
      </c>
      <c r="D8" s="149" t="s">
        <v>281</v>
      </c>
      <c r="E8" s="150" t="s">
        <v>271</v>
      </c>
      <c r="F8" s="152" t="s">
        <v>282</v>
      </c>
      <c r="G8" s="160">
        <v>0</v>
      </c>
      <c r="H8" s="221">
        <v>13</v>
      </c>
    </row>
    <row r="9" spans="1:8" s="158" customFormat="1" ht="24" hidden="1" customHeight="1" x14ac:dyDescent="0.25">
      <c r="A9" s="224" t="s">
        <v>120</v>
      </c>
      <c r="B9" s="159">
        <v>5</v>
      </c>
      <c r="C9" s="149" t="s">
        <v>11</v>
      </c>
      <c r="D9" s="149" t="s">
        <v>281</v>
      </c>
      <c r="E9" s="150" t="s">
        <v>271</v>
      </c>
      <c r="F9" s="152" t="s">
        <v>282</v>
      </c>
      <c r="G9" s="160">
        <v>0</v>
      </c>
      <c r="H9" s="221">
        <v>13</v>
      </c>
    </row>
    <row r="10" spans="1:8" s="158" customFormat="1" ht="24" hidden="1" customHeight="1" x14ac:dyDescent="0.25">
      <c r="A10" s="224" t="s">
        <v>121</v>
      </c>
      <c r="B10" s="159">
        <v>6</v>
      </c>
      <c r="C10" s="149" t="s">
        <v>11</v>
      </c>
      <c r="D10" s="149" t="s">
        <v>281</v>
      </c>
      <c r="E10" s="150" t="s">
        <v>271</v>
      </c>
      <c r="F10" s="152" t="s">
        <v>282</v>
      </c>
      <c r="G10" s="160">
        <v>0</v>
      </c>
      <c r="H10" s="221">
        <v>13</v>
      </c>
    </row>
    <row r="11" spans="1:8" s="12" customFormat="1" ht="24" customHeight="1" x14ac:dyDescent="0.25">
      <c r="A11" s="225" t="s">
        <v>111</v>
      </c>
      <c r="B11" s="145">
        <v>2</v>
      </c>
      <c r="C11" s="23" t="s">
        <v>8</v>
      </c>
      <c r="D11" s="10" t="s">
        <v>281</v>
      </c>
      <c r="E11" s="23" t="s">
        <v>271</v>
      </c>
      <c r="F11" s="18" t="s">
        <v>101</v>
      </c>
      <c r="G11" s="69">
        <f>(85*10)*2</f>
        <v>1700</v>
      </c>
      <c r="H11" s="217">
        <v>13</v>
      </c>
    </row>
    <row r="12" spans="1:8" s="12" customFormat="1" ht="25.5" x14ac:dyDescent="0.25">
      <c r="A12" s="220" t="s">
        <v>126</v>
      </c>
      <c r="B12" s="143">
        <v>2</v>
      </c>
      <c r="C12" s="10" t="s">
        <v>128</v>
      </c>
      <c r="D12" s="10" t="s">
        <v>281</v>
      </c>
      <c r="E12" s="23" t="s">
        <v>271</v>
      </c>
      <c r="F12" s="18" t="s">
        <v>131</v>
      </c>
      <c r="G12" s="11">
        <f>(100*10)+(20*30)*2</f>
        <v>2200</v>
      </c>
      <c r="H12" s="217">
        <v>13</v>
      </c>
    </row>
    <row r="13" spans="1:8" s="16" customFormat="1" ht="24" customHeight="1" x14ac:dyDescent="0.25">
      <c r="A13" s="220" t="s">
        <v>107</v>
      </c>
      <c r="B13" s="143" t="s">
        <v>284</v>
      </c>
      <c r="C13" s="10" t="s">
        <v>12</v>
      </c>
      <c r="D13" s="10" t="s">
        <v>281</v>
      </c>
      <c r="E13" s="23" t="s">
        <v>271</v>
      </c>
      <c r="F13" s="10" t="s">
        <v>289</v>
      </c>
      <c r="G13" s="69">
        <f>170*40</f>
        <v>6800</v>
      </c>
      <c r="H13" s="217">
        <v>13</v>
      </c>
    </row>
    <row r="14" spans="1:8" s="16" customFormat="1" ht="24" customHeight="1" x14ac:dyDescent="0.25">
      <c r="A14" s="226" t="s">
        <v>127</v>
      </c>
      <c r="B14" s="146">
        <v>2</v>
      </c>
      <c r="C14" s="63" t="s">
        <v>11</v>
      </c>
      <c r="D14" s="39" t="s">
        <v>281</v>
      </c>
      <c r="E14" s="23" t="s">
        <v>271</v>
      </c>
      <c r="F14" s="10" t="s">
        <v>132</v>
      </c>
      <c r="G14" s="89">
        <f>85*90</f>
        <v>7650</v>
      </c>
      <c r="H14" s="227">
        <v>13</v>
      </c>
    </row>
    <row r="15" spans="1:8" s="12" customFormat="1" ht="24" customHeight="1" x14ac:dyDescent="0.25">
      <c r="A15" s="220" t="s">
        <v>105</v>
      </c>
      <c r="B15" s="143" t="s">
        <v>284</v>
      </c>
      <c r="C15" s="10" t="s">
        <v>12</v>
      </c>
      <c r="D15" s="10" t="s">
        <v>281</v>
      </c>
      <c r="E15" s="10" t="s">
        <v>272</v>
      </c>
      <c r="F15" s="18" t="s">
        <v>282</v>
      </c>
      <c r="G15" s="92">
        <f t="shared" ref="G15:G20" si="0">(5.0463*5.0463)*3.1416</f>
        <v>80.001295416503979</v>
      </c>
      <c r="H15" s="217">
        <v>13</v>
      </c>
    </row>
    <row r="16" spans="1:8" s="12" customFormat="1" ht="24" customHeight="1" x14ac:dyDescent="0.25">
      <c r="A16" s="225" t="s">
        <v>114</v>
      </c>
      <c r="B16" s="147">
        <v>6</v>
      </c>
      <c r="C16" s="22" t="s">
        <v>12</v>
      </c>
      <c r="D16" s="10" t="s">
        <v>281</v>
      </c>
      <c r="E16" s="10" t="s">
        <v>272</v>
      </c>
      <c r="F16" s="18" t="s">
        <v>282</v>
      </c>
      <c r="G16" s="92">
        <f t="shared" si="0"/>
        <v>80.001295416503979</v>
      </c>
      <c r="H16" s="217">
        <v>13</v>
      </c>
    </row>
    <row r="17" spans="1:8" s="12" customFormat="1" ht="24" customHeight="1" x14ac:dyDescent="0.25">
      <c r="A17" s="225" t="s">
        <v>115</v>
      </c>
      <c r="B17" s="145">
        <v>5</v>
      </c>
      <c r="C17" s="23" t="s">
        <v>12</v>
      </c>
      <c r="D17" s="10" t="s">
        <v>281</v>
      </c>
      <c r="E17" s="10" t="s">
        <v>272</v>
      </c>
      <c r="F17" s="18" t="s">
        <v>282</v>
      </c>
      <c r="G17" s="92">
        <f t="shared" si="0"/>
        <v>80.001295416503979</v>
      </c>
      <c r="H17" s="217">
        <v>13</v>
      </c>
    </row>
    <row r="18" spans="1:8" s="12" customFormat="1" ht="24" customHeight="1" x14ac:dyDescent="0.25">
      <c r="A18" s="225" t="s">
        <v>116</v>
      </c>
      <c r="B18" s="145">
        <v>5</v>
      </c>
      <c r="C18" s="23" t="s">
        <v>12</v>
      </c>
      <c r="D18" s="10" t="s">
        <v>281</v>
      </c>
      <c r="E18" s="10" t="s">
        <v>272</v>
      </c>
      <c r="F18" s="18" t="s">
        <v>282</v>
      </c>
      <c r="G18" s="92">
        <f t="shared" si="0"/>
        <v>80.001295416503979</v>
      </c>
      <c r="H18" s="217">
        <v>13</v>
      </c>
    </row>
    <row r="19" spans="1:8" s="12" customFormat="1" ht="24" customHeight="1" x14ac:dyDescent="0.25">
      <c r="A19" s="225" t="s">
        <v>108</v>
      </c>
      <c r="B19" s="145">
        <v>2</v>
      </c>
      <c r="C19" s="23" t="s">
        <v>12</v>
      </c>
      <c r="D19" s="10" t="s">
        <v>281</v>
      </c>
      <c r="E19" s="10" t="s">
        <v>272</v>
      </c>
      <c r="F19" s="18" t="s">
        <v>282</v>
      </c>
      <c r="G19" s="99">
        <f t="shared" si="0"/>
        <v>80.001295416503979</v>
      </c>
      <c r="H19" s="217">
        <v>13</v>
      </c>
    </row>
    <row r="20" spans="1:8" s="12" customFormat="1" ht="24" customHeight="1" thickBot="1" x14ac:dyDescent="0.3">
      <c r="A20" s="225" t="s">
        <v>109</v>
      </c>
      <c r="B20" s="145">
        <v>1</v>
      </c>
      <c r="C20" s="23" t="s">
        <v>12</v>
      </c>
      <c r="D20" s="10" t="s">
        <v>281</v>
      </c>
      <c r="E20" s="10" t="s">
        <v>272</v>
      </c>
      <c r="F20" s="18" t="s">
        <v>282</v>
      </c>
      <c r="G20" s="92">
        <f t="shared" si="0"/>
        <v>80.001295416503979</v>
      </c>
      <c r="H20" s="217">
        <v>13</v>
      </c>
    </row>
    <row r="21" spans="1:8" s="163" customFormat="1" ht="24" hidden="1" customHeight="1" x14ac:dyDescent="0.25">
      <c r="A21" s="228" t="s">
        <v>110</v>
      </c>
      <c r="B21" s="161"/>
      <c r="C21" s="150" t="s">
        <v>15</v>
      </c>
      <c r="D21" s="150" t="s">
        <v>281</v>
      </c>
      <c r="E21" s="150" t="s">
        <v>272</v>
      </c>
      <c r="F21" s="154" t="s">
        <v>282</v>
      </c>
      <c r="G21" s="160">
        <v>0</v>
      </c>
      <c r="H21" s="221">
        <v>13</v>
      </c>
    </row>
    <row r="22" spans="1:8" s="162" customFormat="1" ht="24" hidden="1" customHeight="1" x14ac:dyDescent="0.25">
      <c r="A22" s="228" t="s">
        <v>122</v>
      </c>
      <c r="B22" s="161" t="s">
        <v>284</v>
      </c>
      <c r="C22" s="150" t="s">
        <v>11</v>
      </c>
      <c r="D22" s="150" t="s">
        <v>281</v>
      </c>
      <c r="E22" s="150" t="s">
        <v>271</v>
      </c>
      <c r="F22" s="154" t="s">
        <v>282</v>
      </c>
      <c r="G22" s="160">
        <v>0</v>
      </c>
      <c r="H22" s="221">
        <v>13</v>
      </c>
    </row>
    <row r="23" spans="1:8" s="162" customFormat="1" ht="24" hidden="1" customHeight="1" x14ac:dyDescent="0.25">
      <c r="A23" s="228" t="s">
        <v>123</v>
      </c>
      <c r="B23" s="161">
        <v>4</v>
      </c>
      <c r="C23" s="150" t="s">
        <v>11</v>
      </c>
      <c r="D23" s="150" t="s">
        <v>281</v>
      </c>
      <c r="E23" s="150" t="s">
        <v>271</v>
      </c>
      <c r="F23" s="154" t="s">
        <v>282</v>
      </c>
      <c r="G23" s="160">
        <v>0</v>
      </c>
      <c r="H23" s="221">
        <v>13</v>
      </c>
    </row>
    <row r="24" spans="1:8" s="162" customFormat="1" ht="24" hidden="1" customHeight="1" x14ac:dyDescent="0.25">
      <c r="A24" s="228" t="s">
        <v>124</v>
      </c>
      <c r="B24" s="161">
        <v>3</v>
      </c>
      <c r="C24" s="150" t="s">
        <v>11</v>
      </c>
      <c r="D24" s="150" t="s">
        <v>281</v>
      </c>
      <c r="E24" s="150" t="s">
        <v>271</v>
      </c>
      <c r="F24" s="154" t="s">
        <v>282</v>
      </c>
      <c r="G24" s="160">
        <v>0</v>
      </c>
      <c r="H24" s="221">
        <v>13</v>
      </c>
    </row>
    <row r="25" spans="1:8" s="162" customFormat="1" ht="24" hidden="1" customHeight="1" x14ac:dyDescent="0.25">
      <c r="A25" s="228" t="s">
        <v>125</v>
      </c>
      <c r="B25" s="161">
        <v>3</v>
      </c>
      <c r="C25" s="150" t="s">
        <v>11</v>
      </c>
      <c r="D25" s="150" t="s">
        <v>281</v>
      </c>
      <c r="E25" s="150" t="s">
        <v>271</v>
      </c>
      <c r="F25" s="154" t="s">
        <v>282</v>
      </c>
      <c r="G25" s="160">
        <v>0</v>
      </c>
      <c r="H25" s="221">
        <v>13</v>
      </c>
    </row>
    <row r="26" spans="1:8" s="162" customFormat="1" ht="24" hidden="1" customHeight="1" thickBot="1" x14ac:dyDescent="0.3">
      <c r="A26" s="229" t="s">
        <v>112</v>
      </c>
      <c r="B26" s="230"/>
      <c r="C26" s="231" t="s">
        <v>129</v>
      </c>
      <c r="D26" s="231" t="s">
        <v>281</v>
      </c>
      <c r="E26" s="231" t="s">
        <v>271</v>
      </c>
      <c r="F26" s="232" t="s">
        <v>282</v>
      </c>
      <c r="G26" s="233">
        <v>0</v>
      </c>
      <c r="H26" s="234">
        <v>13</v>
      </c>
    </row>
    <row r="27" spans="1:8" s="9" customFormat="1" ht="24" customHeight="1" thickBot="1" x14ac:dyDescent="0.3">
      <c r="A27" s="247"/>
      <c r="B27" s="136"/>
      <c r="C27" s="248"/>
      <c r="D27" s="248"/>
      <c r="E27" s="248"/>
      <c r="F27" s="122" t="s">
        <v>23</v>
      </c>
      <c r="G27" s="271">
        <f>SUM(G4:G26)</f>
        <v>21250.007772499019</v>
      </c>
      <c r="H27" s="249"/>
    </row>
    <row r="28" spans="1:8" s="12" customFormat="1" x14ac:dyDescent="0.25">
      <c r="A28" s="64"/>
      <c r="B28" s="49"/>
      <c r="C28" s="49"/>
      <c r="D28" s="49"/>
      <c r="E28" s="49"/>
      <c r="F28" s="50"/>
      <c r="G28" s="49"/>
      <c r="H28" s="48"/>
    </row>
    <row r="29" spans="1:8" s="12" customFormat="1" x14ac:dyDescent="0.25">
      <c r="A29" s="64"/>
      <c r="B29" s="49"/>
      <c r="C29" s="49"/>
      <c r="D29" s="49"/>
      <c r="E29" s="49"/>
      <c r="F29" s="50"/>
      <c r="G29" s="49"/>
      <c r="H29" s="48"/>
    </row>
    <row r="30" spans="1:8" x14ac:dyDescent="0.25">
      <c r="A30" s="65"/>
      <c r="B30" s="100"/>
      <c r="C30" s="65"/>
      <c r="D30" s="66"/>
      <c r="E30" s="65"/>
      <c r="F30" s="67"/>
      <c r="G30" s="65"/>
      <c r="H30" s="65"/>
    </row>
  </sheetData>
  <sortState xmlns:xlrd2="http://schemas.microsoft.com/office/spreadsheetml/2017/richdata2" ref="A4:H26">
    <sortCondition ref="A4:A26"/>
  </sortState>
  <mergeCells count="2">
    <mergeCell ref="A1:H1"/>
    <mergeCell ref="A2:H2"/>
  </mergeCells>
  <printOptions horizontalCentered="1"/>
  <pageMargins left="0.7" right="0.7" top="0.75" bottom="0.54" header="0.3" footer="0.3"/>
  <pageSetup scale="6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3"/>
  <sheetViews>
    <sheetView topLeftCell="A14" workbookViewId="0">
      <selection activeCell="A25" sqref="A25:XFD25"/>
    </sheetView>
  </sheetViews>
  <sheetFormatPr defaultColWidth="8.85546875" defaultRowHeight="15" x14ac:dyDescent="0.25"/>
  <cols>
    <col min="1" max="1" width="12.85546875" style="14" customWidth="1"/>
    <col min="2" max="2" width="12.85546875" style="101" customWidth="1"/>
    <col min="3" max="3" width="20.7109375" style="14" bestFit="1" customWidth="1"/>
    <col min="4" max="4" width="19.7109375" style="15" customWidth="1"/>
    <col min="5" max="5" width="24.7109375" style="14" bestFit="1" customWidth="1"/>
    <col min="6" max="6" width="21.7109375" style="14" customWidth="1"/>
    <col min="7" max="7" width="11.85546875" style="111" customWidth="1"/>
    <col min="8" max="8" width="11.85546875" style="14" customWidth="1"/>
    <col min="9" max="10" width="12.7109375" style="14" customWidth="1"/>
    <col min="11" max="16384" width="8.85546875" style="14"/>
  </cols>
  <sheetData>
    <row r="1" spans="1:9" ht="28.5" customHeight="1" x14ac:dyDescent="0.25">
      <c r="A1" s="341" t="s">
        <v>268</v>
      </c>
      <c r="B1" s="341"/>
      <c r="C1" s="341"/>
      <c r="D1" s="341"/>
      <c r="E1" s="341"/>
      <c r="F1" s="341"/>
      <c r="G1" s="341"/>
      <c r="H1" s="341"/>
    </row>
    <row r="2" spans="1:9" ht="19.5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9" s="24" customFormat="1" ht="39" thickBot="1" x14ac:dyDescent="0.25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9" s="12" customFormat="1" ht="21" customHeight="1" x14ac:dyDescent="0.25">
      <c r="A4" s="181" t="s">
        <v>133</v>
      </c>
      <c r="B4" s="107">
        <v>7</v>
      </c>
      <c r="C4" s="45" t="s">
        <v>12</v>
      </c>
      <c r="D4" s="45" t="s">
        <v>281</v>
      </c>
      <c r="E4" s="45" t="s">
        <v>272</v>
      </c>
      <c r="F4" s="45" t="s">
        <v>282</v>
      </c>
      <c r="G4" s="182">
        <v>80</v>
      </c>
      <c r="H4" s="215">
        <v>13</v>
      </c>
      <c r="I4" s="11"/>
    </row>
    <row r="5" spans="1:9" s="12" customFormat="1" ht="21" customHeight="1" x14ac:dyDescent="0.25">
      <c r="A5" s="193" t="s">
        <v>134</v>
      </c>
      <c r="B5" s="8">
        <v>11</v>
      </c>
      <c r="C5" s="10" t="s">
        <v>13</v>
      </c>
      <c r="D5" s="10" t="s">
        <v>281</v>
      </c>
      <c r="E5" s="10" t="s">
        <v>272</v>
      </c>
      <c r="F5" s="18" t="s">
        <v>282</v>
      </c>
      <c r="G5" s="92">
        <f>(15*5.5)*4</f>
        <v>330</v>
      </c>
      <c r="H5" s="217">
        <v>13</v>
      </c>
      <c r="I5" s="11"/>
    </row>
    <row r="6" spans="1:9" s="12" customFormat="1" ht="21" customHeight="1" x14ac:dyDescent="0.25">
      <c r="A6" s="193" t="s">
        <v>135</v>
      </c>
      <c r="B6" s="8">
        <v>7</v>
      </c>
      <c r="C6" s="10" t="s">
        <v>1</v>
      </c>
      <c r="D6" s="10" t="s">
        <v>281</v>
      </c>
      <c r="E6" s="10" t="s">
        <v>272</v>
      </c>
      <c r="F6" s="18" t="s">
        <v>282</v>
      </c>
      <c r="G6" s="92">
        <f>22*10</f>
        <v>220</v>
      </c>
      <c r="H6" s="217">
        <v>13</v>
      </c>
      <c r="I6" s="11"/>
    </row>
    <row r="7" spans="1:9" s="12" customFormat="1" ht="21" customHeight="1" x14ac:dyDescent="0.25">
      <c r="A7" s="219" t="s">
        <v>136</v>
      </c>
      <c r="B7" s="108">
        <v>10</v>
      </c>
      <c r="C7" s="23" t="s">
        <v>19</v>
      </c>
      <c r="D7" s="10" t="s">
        <v>281</v>
      </c>
      <c r="E7" s="23" t="s">
        <v>271</v>
      </c>
      <c r="F7" s="18" t="s">
        <v>282</v>
      </c>
      <c r="G7" s="88">
        <f>(150*10)+250</f>
        <v>1750</v>
      </c>
      <c r="H7" s="217">
        <v>13</v>
      </c>
      <c r="I7" s="11"/>
    </row>
    <row r="8" spans="1:9" s="12" customFormat="1" ht="21" customHeight="1" x14ac:dyDescent="0.25">
      <c r="A8" s="219" t="s">
        <v>137</v>
      </c>
      <c r="B8" s="108">
        <v>8</v>
      </c>
      <c r="C8" s="23" t="s">
        <v>19</v>
      </c>
      <c r="D8" s="10" t="s">
        <v>281</v>
      </c>
      <c r="E8" s="23" t="s">
        <v>271</v>
      </c>
      <c r="F8" s="18" t="s">
        <v>282</v>
      </c>
      <c r="G8" s="88">
        <f>(150*10)+250</f>
        <v>1750</v>
      </c>
      <c r="H8" s="217">
        <v>13</v>
      </c>
      <c r="I8" s="11"/>
    </row>
    <row r="9" spans="1:9" s="12" customFormat="1" ht="21" customHeight="1" x14ac:dyDescent="0.25">
      <c r="A9" s="219" t="s">
        <v>138</v>
      </c>
      <c r="B9" s="108">
        <v>8</v>
      </c>
      <c r="C9" s="23" t="s">
        <v>19</v>
      </c>
      <c r="D9" s="10" t="s">
        <v>281</v>
      </c>
      <c r="E9" s="23" t="s">
        <v>271</v>
      </c>
      <c r="F9" s="18" t="s">
        <v>282</v>
      </c>
      <c r="G9" s="88">
        <f>(150*10)+250</f>
        <v>1750</v>
      </c>
      <c r="H9" s="217">
        <v>13</v>
      </c>
      <c r="I9" s="11"/>
    </row>
    <row r="10" spans="1:9" s="12" customFormat="1" ht="21" customHeight="1" x14ac:dyDescent="0.25">
      <c r="A10" s="219" t="s">
        <v>139</v>
      </c>
      <c r="B10" s="108">
        <v>9</v>
      </c>
      <c r="C10" s="23" t="s">
        <v>19</v>
      </c>
      <c r="D10" s="10" t="s">
        <v>281</v>
      </c>
      <c r="E10" s="23" t="s">
        <v>271</v>
      </c>
      <c r="F10" s="18" t="s">
        <v>282</v>
      </c>
      <c r="G10" s="88">
        <f>(150*10)+250</f>
        <v>1750</v>
      </c>
      <c r="H10" s="217">
        <v>13</v>
      </c>
      <c r="I10" s="11"/>
    </row>
    <row r="11" spans="1:9" s="12" customFormat="1" ht="21" customHeight="1" x14ac:dyDescent="0.25">
      <c r="A11" s="219" t="s">
        <v>140</v>
      </c>
      <c r="B11" s="108">
        <v>11</v>
      </c>
      <c r="C11" s="23" t="s">
        <v>19</v>
      </c>
      <c r="D11" s="10" t="s">
        <v>281</v>
      </c>
      <c r="E11" s="23" t="s">
        <v>271</v>
      </c>
      <c r="F11" s="18" t="s">
        <v>282</v>
      </c>
      <c r="G11" s="88">
        <f>(150*10)+250</f>
        <v>1750</v>
      </c>
      <c r="H11" s="217">
        <v>13</v>
      </c>
      <c r="I11" s="11"/>
    </row>
    <row r="12" spans="1:9" s="12" customFormat="1" ht="21" customHeight="1" x14ac:dyDescent="0.25">
      <c r="A12" s="219" t="s">
        <v>141</v>
      </c>
      <c r="B12" s="108">
        <v>2</v>
      </c>
      <c r="C12" s="23" t="s">
        <v>11</v>
      </c>
      <c r="D12" s="10" t="s">
        <v>281</v>
      </c>
      <c r="E12" s="23" t="s">
        <v>271</v>
      </c>
      <c r="F12" s="18" t="s">
        <v>282</v>
      </c>
      <c r="G12" s="88">
        <f>150*10</f>
        <v>1500</v>
      </c>
      <c r="H12" s="217">
        <v>13</v>
      </c>
      <c r="I12" s="11"/>
    </row>
    <row r="13" spans="1:9" s="12" customFormat="1" ht="25.5" x14ac:dyDescent="0.25">
      <c r="A13" s="219" t="s">
        <v>142</v>
      </c>
      <c r="B13" s="108">
        <v>2</v>
      </c>
      <c r="C13" s="23" t="s">
        <v>162</v>
      </c>
      <c r="D13" s="10" t="s">
        <v>281</v>
      </c>
      <c r="E13" s="23" t="s">
        <v>271</v>
      </c>
      <c r="F13" s="18" t="s">
        <v>291</v>
      </c>
      <c r="G13" s="88">
        <v>0</v>
      </c>
      <c r="H13" s="217">
        <v>13</v>
      </c>
      <c r="I13" s="11"/>
    </row>
    <row r="14" spans="1:9" s="12" customFormat="1" ht="21.6" customHeight="1" x14ac:dyDescent="0.25">
      <c r="A14" s="219" t="s">
        <v>143</v>
      </c>
      <c r="B14" s="108">
        <v>3</v>
      </c>
      <c r="C14" s="23" t="s">
        <v>11</v>
      </c>
      <c r="D14" s="10" t="s">
        <v>281</v>
      </c>
      <c r="E14" s="23" t="s">
        <v>271</v>
      </c>
      <c r="F14" s="18" t="s">
        <v>282</v>
      </c>
      <c r="G14" s="88">
        <f>150*10</f>
        <v>1500</v>
      </c>
      <c r="H14" s="217">
        <v>13</v>
      </c>
      <c r="I14" s="11"/>
    </row>
    <row r="15" spans="1:9" s="12" customFormat="1" ht="25.5" x14ac:dyDescent="0.25">
      <c r="A15" s="219" t="s">
        <v>144</v>
      </c>
      <c r="B15" s="108">
        <v>3</v>
      </c>
      <c r="C15" s="23" t="s">
        <v>1</v>
      </c>
      <c r="D15" s="10" t="s">
        <v>281</v>
      </c>
      <c r="E15" s="23" t="s">
        <v>271</v>
      </c>
      <c r="F15" s="18" t="s">
        <v>291</v>
      </c>
      <c r="G15" s="88">
        <v>0</v>
      </c>
      <c r="H15" s="217">
        <v>13</v>
      </c>
      <c r="I15" s="11"/>
    </row>
    <row r="16" spans="1:9" s="12" customFormat="1" ht="21.6" customHeight="1" x14ac:dyDescent="0.25">
      <c r="A16" s="219" t="s">
        <v>145</v>
      </c>
      <c r="B16" s="108">
        <v>5</v>
      </c>
      <c r="C16" s="23" t="s">
        <v>11</v>
      </c>
      <c r="D16" s="10" t="s">
        <v>281</v>
      </c>
      <c r="E16" s="23" t="s">
        <v>271</v>
      </c>
      <c r="F16" s="18" t="s">
        <v>282</v>
      </c>
      <c r="G16" s="88">
        <v>1500</v>
      </c>
      <c r="H16" s="217">
        <v>13</v>
      </c>
      <c r="I16" s="11"/>
    </row>
    <row r="17" spans="1:9" s="12" customFormat="1" ht="25.5" x14ac:dyDescent="0.25">
      <c r="A17" s="219" t="s">
        <v>146</v>
      </c>
      <c r="B17" s="108">
        <v>5</v>
      </c>
      <c r="C17" s="23" t="s">
        <v>162</v>
      </c>
      <c r="D17" s="10" t="s">
        <v>281</v>
      </c>
      <c r="E17" s="23" t="s">
        <v>271</v>
      </c>
      <c r="F17" s="18" t="s">
        <v>291</v>
      </c>
      <c r="G17" s="88">
        <v>1500</v>
      </c>
      <c r="H17" s="217">
        <v>13</v>
      </c>
      <c r="I17" s="11"/>
    </row>
    <row r="18" spans="1:9" s="158" customFormat="1" ht="21.6" hidden="1" customHeight="1" x14ac:dyDescent="0.25">
      <c r="A18" s="235" t="s">
        <v>147</v>
      </c>
      <c r="B18" s="155">
        <v>7</v>
      </c>
      <c r="C18" s="150" t="s">
        <v>163</v>
      </c>
      <c r="D18" s="149" t="s">
        <v>281</v>
      </c>
      <c r="E18" s="150" t="s">
        <v>271</v>
      </c>
      <c r="F18" s="152" t="s">
        <v>282</v>
      </c>
      <c r="G18" s="151">
        <v>0</v>
      </c>
      <c r="H18" s="221">
        <v>0</v>
      </c>
      <c r="I18" s="157"/>
    </row>
    <row r="19" spans="1:9" s="12" customFormat="1" ht="25.5" x14ac:dyDescent="0.25">
      <c r="A19" s="219" t="s">
        <v>148</v>
      </c>
      <c r="B19" s="108">
        <v>11</v>
      </c>
      <c r="C19" s="23" t="s">
        <v>162</v>
      </c>
      <c r="D19" s="10" t="s">
        <v>281</v>
      </c>
      <c r="E19" s="23" t="s">
        <v>271</v>
      </c>
      <c r="F19" s="18" t="s">
        <v>282</v>
      </c>
      <c r="G19" s="92">
        <f t="shared" ref="G19" si="0">22*10</f>
        <v>220</v>
      </c>
      <c r="H19" s="217">
        <v>13</v>
      </c>
      <c r="I19" s="11"/>
    </row>
    <row r="20" spans="1:9" s="12" customFormat="1" ht="25.5" x14ac:dyDescent="0.25">
      <c r="A20" s="219" t="s">
        <v>150</v>
      </c>
      <c r="B20" s="108">
        <v>7</v>
      </c>
      <c r="C20" s="23" t="s">
        <v>162</v>
      </c>
      <c r="D20" s="10" t="s">
        <v>281</v>
      </c>
      <c r="E20" s="23" t="s">
        <v>271</v>
      </c>
      <c r="F20" s="18" t="s">
        <v>83</v>
      </c>
      <c r="G20" s="88">
        <f>200*50</f>
        <v>10000</v>
      </c>
      <c r="H20" s="217">
        <v>13</v>
      </c>
      <c r="I20" s="11"/>
    </row>
    <row r="21" spans="1:9" s="12" customFormat="1" ht="25.5" x14ac:dyDescent="0.25">
      <c r="A21" s="219" t="s">
        <v>151</v>
      </c>
      <c r="B21" s="108">
        <v>7</v>
      </c>
      <c r="C21" s="23" t="s">
        <v>162</v>
      </c>
      <c r="D21" s="10" t="s">
        <v>281</v>
      </c>
      <c r="E21" s="23" t="s">
        <v>271</v>
      </c>
      <c r="F21" s="18" t="s">
        <v>83</v>
      </c>
      <c r="G21" s="88">
        <f>265*82</f>
        <v>21730</v>
      </c>
      <c r="H21" s="217">
        <v>13</v>
      </c>
      <c r="I21" s="11"/>
    </row>
    <row r="22" spans="1:9" s="12" customFormat="1" ht="21.6" customHeight="1" x14ac:dyDescent="0.25">
      <c r="A22" s="219" t="s">
        <v>152</v>
      </c>
      <c r="B22" s="108">
        <v>11</v>
      </c>
      <c r="C22" s="23" t="s">
        <v>17</v>
      </c>
      <c r="D22" s="10" t="s">
        <v>281</v>
      </c>
      <c r="E22" s="23" t="s">
        <v>271</v>
      </c>
      <c r="F22" s="18" t="s">
        <v>17</v>
      </c>
      <c r="G22" s="88">
        <f>(50*10)*4</f>
        <v>2000</v>
      </c>
      <c r="H22" s="217">
        <v>13</v>
      </c>
      <c r="I22" s="11"/>
    </row>
    <row r="23" spans="1:9" s="12" customFormat="1" ht="21.6" customHeight="1" x14ac:dyDescent="0.25">
      <c r="A23" s="219" t="s">
        <v>153</v>
      </c>
      <c r="B23" s="108">
        <v>7</v>
      </c>
      <c r="C23" s="23" t="s">
        <v>11</v>
      </c>
      <c r="D23" s="10" t="s">
        <v>281</v>
      </c>
      <c r="E23" s="23" t="s">
        <v>271</v>
      </c>
      <c r="F23" s="18" t="s">
        <v>172</v>
      </c>
      <c r="G23" s="110">
        <f>350*60</f>
        <v>21000</v>
      </c>
      <c r="H23" s="217">
        <v>13</v>
      </c>
      <c r="I23" s="11"/>
    </row>
    <row r="24" spans="1:9" s="16" customFormat="1" ht="28.5" customHeight="1" x14ac:dyDescent="0.25">
      <c r="A24" s="219" t="s">
        <v>155</v>
      </c>
      <c r="B24" s="108">
        <v>7</v>
      </c>
      <c r="C24" s="23" t="s">
        <v>162</v>
      </c>
      <c r="D24" s="10" t="s">
        <v>281</v>
      </c>
      <c r="E24" s="23" t="s">
        <v>271</v>
      </c>
      <c r="F24" s="10" t="s">
        <v>83</v>
      </c>
      <c r="G24" s="88">
        <f>200*160.5</f>
        <v>32100</v>
      </c>
      <c r="H24" s="217">
        <v>13</v>
      </c>
    </row>
    <row r="25" spans="1:9" s="302" customFormat="1" ht="25.5" x14ac:dyDescent="0.25">
      <c r="A25" s="273" t="s">
        <v>156</v>
      </c>
      <c r="B25" s="131">
        <v>11</v>
      </c>
      <c r="C25" s="274" t="s">
        <v>165</v>
      </c>
      <c r="D25" s="56" t="s">
        <v>281</v>
      </c>
      <c r="E25" s="274" t="s">
        <v>271</v>
      </c>
      <c r="F25" s="56" t="s">
        <v>171</v>
      </c>
      <c r="G25" s="87">
        <v>28000</v>
      </c>
      <c r="H25" s="283">
        <v>13</v>
      </c>
    </row>
    <row r="26" spans="1:9" s="12" customFormat="1" ht="27.6" customHeight="1" x14ac:dyDescent="0.25">
      <c r="A26" s="219" t="s">
        <v>157</v>
      </c>
      <c r="B26" s="108">
        <v>11</v>
      </c>
      <c r="C26" s="23" t="s">
        <v>20</v>
      </c>
      <c r="D26" s="10" t="s">
        <v>281</v>
      </c>
      <c r="E26" s="23" t="s">
        <v>271</v>
      </c>
      <c r="F26" s="10" t="s">
        <v>282</v>
      </c>
      <c r="G26" s="88">
        <f>(450*5)+(16500+7500+2000)</f>
        <v>28250</v>
      </c>
      <c r="H26" s="227">
        <v>13</v>
      </c>
    </row>
    <row r="27" spans="1:9" s="12" customFormat="1" ht="24.6" customHeight="1" x14ac:dyDescent="0.25">
      <c r="A27" s="219" t="s">
        <v>158</v>
      </c>
      <c r="B27" s="108">
        <v>4</v>
      </c>
      <c r="C27" s="23" t="s">
        <v>17</v>
      </c>
      <c r="D27" s="10" t="s">
        <v>281</v>
      </c>
      <c r="E27" s="23" t="s">
        <v>271</v>
      </c>
      <c r="F27" s="10" t="s">
        <v>292</v>
      </c>
      <c r="G27" s="88">
        <f>500*10</f>
        <v>5000</v>
      </c>
      <c r="H27" s="227">
        <v>13</v>
      </c>
    </row>
    <row r="28" spans="1:9" ht="21" customHeight="1" x14ac:dyDescent="0.25">
      <c r="A28" s="216" t="s">
        <v>159</v>
      </c>
      <c r="B28" s="96">
        <v>1</v>
      </c>
      <c r="C28" s="56" t="s">
        <v>293</v>
      </c>
      <c r="D28" s="10" t="s">
        <v>281</v>
      </c>
      <c r="E28" s="10" t="s">
        <v>272</v>
      </c>
      <c r="F28" s="18" t="s">
        <v>294</v>
      </c>
      <c r="G28" s="92">
        <f>(5.0463*5.0463)*3.1416</f>
        <v>80.001295416503979</v>
      </c>
      <c r="H28" s="217">
        <v>13</v>
      </c>
    </row>
    <row r="29" spans="1:9" s="12" customFormat="1" ht="25.5" x14ac:dyDescent="0.25">
      <c r="A29" s="219" t="s">
        <v>149</v>
      </c>
      <c r="B29" s="108">
        <v>1</v>
      </c>
      <c r="C29" s="23" t="s">
        <v>162</v>
      </c>
      <c r="D29" s="10" t="s">
        <v>281</v>
      </c>
      <c r="E29" s="23" t="s">
        <v>271</v>
      </c>
      <c r="F29" s="18" t="s">
        <v>290</v>
      </c>
      <c r="G29" s="87">
        <v>0</v>
      </c>
      <c r="H29" s="217">
        <v>13</v>
      </c>
      <c r="I29" s="11"/>
    </row>
    <row r="30" spans="1:9" s="12" customFormat="1" ht="25.5" x14ac:dyDescent="0.25">
      <c r="A30" s="219" t="s">
        <v>154</v>
      </c>
      <c r="B30" s="108">
        <v>1</v>
      </c>
      <c r="C30" s="23" t="s">
        <v>164</v>
      </c>
      <c r="D30" s="10" t="s">
        <v>281</v>
      </c>
      <c r="E30" s="23" t="s">
        <v>271</v>
      </c>
      <c r="F30" s="18" t="s">
        <v>173</v>
      </c>
      <c r="G30" s="88">
        <f>300*50</f>
        <v>15000</v>
      </c>
      <c r="H30" s="227">
        <v>13</v>
      </c>
      <c r="I30" s="11"/>
    </row>
    <row r="31" spans="1:9" s="12" customFormat="1" ht="25.5" x14ac:dyDescent="0.25">
      <c r="A31" s="185" t="s">
        <v>160</v>
      </c>
      <c r="B31" s="40">
        <v>3</v>
      </c>
      <c r="C31" s="39" t="s">
        <v>167</v>
      </c>
      <c r="D31" s="10" t="s">
        <v>281</v>
      </c>
      <c r="E31" s="23" t="s">
        <v>271</v>
      </c>
      <c r="F31" s="18" t="s">
        <v>169</v>
      </c>
      <c r="G31" s="84">
        <f>475*45</f>
        <v>21375</v>
      </c>
      <c r="H31" s="217">
        <v>13</v>
      </c>
      <c r="I31" s="11"/>
    </row>
    <row r="32" spans="1:9" s="12" customFormat="1" ht="29.25" customHeight="1" thickBot="1" x14ac:dyDescent="0.3">
      <c r="A32" s="187" t="s">
        <v>161</v>
      </c>
      <c r="B32" s="188">
        <v>6</v>
      </c>
      <c r="C32" s="189" t="s">
        <v>168</v>
      </c>
      <c r="D32" s="189" t="s">
        <v>281</v>
      </c>
      <c r="E32" s="236" t="s">
        <v>271</v>
      </c>
      <c r="F32" s="189" t="s">
        <v>170</v>
      </c>
      <c r="G32" s="237">
        <f>185*350</f>
        <v>64750</v>
      </c>
      <c r="H32" s="238">
        <v>13</v>
      </c>
    </row>
    <row r="33" spans="1:8" ht="24" customHeight="1" thickBot="1" x14ac:dyDescent="0.3">
      <c r="A33" s="102"/>
      <c r="B33" s="109"/>
      <c r="C33" s="104"/>
      <c r="D33" s="103"/>
      <c r="E33" s="104"/>
      <c r="F33" s="132" t="s">
        <v>23</v>
      </c>
      <c r="G33" s="272">
        <f>SUM(G4:G32)</f>
        <v>264885.0012954165</v>
      </c>
      <c r="H33" s="105"/>
    </row>
  </sheetData>
  <sortState xmlns:xlrd2="http://schemas.microsoft.com/office/spreadsheetml/2017/richdata2" ref="A4:H32">
    <sortCondition ref="A4:A32"/>
  </sortState>
  <mergeCells count="2">
    <mergeCell ref="A1:H1"/>
    <mergeCell ref="A2:H2"/>
  </mergeCells>
  <printOptions horizontalCentered="1"/>
  <pageMargins left="0.7" right="0.44" top="0.6" bottom="0.4" header="0.3" footer="0.3"/>
  <pageSetup scale="6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8"/>
  <sheetViews>
    <sheetView workbookViewId="0">
      <selection activeCell="E5" sqref="E5"/>
    </sheetView>
  </sheetViews>
  <sheetFormatPr defaultColWidth="8.85546875" defaultRowHeight="15" x14ac:dyDescent="0.25"/>
  <cols>
    <col min="1" max="1" width="12.85546875" style="14" customWidth="1"/>
    <col min="2" max="2" width="12.85546875" style="101" customWidth="1"/>
    <col min="3" max="3" width="20.5703125" style="14" customWidth="1"/>
    <col min="4" max="4" width="20.7109375" style="15" customWidth="1"/>
    <col min="5" max="5" width="21.28515625" style="29" customWidth="1"/>
    <col min="6" max="6" width="21.7109375" style="14" customWidth="1"/>
    <col min="7" max="7" width="11.85546875" style="30" customWidth="1"/>
    <col min="8" max="8" width="11.85546875" style="14" customWidth="1"/>
    <col min="9" max="10" width="12.7109375" style="14" customWidth="1"/>
    <col min="11" max="16384" width="8.85546875" style="14"/>
  </cols>
  <sheetData>
    <row r="1" spans="1:8" ht="28.5" customHeight="1" x14ac:dyDescent="0.25">
      <c r="A1" s="341" t="s">
        <v>269</v>
      </c>
      <c r="B1" s="341"/>
      <c r="C1" s="341"/>
      <c r="D1" s="341"/>
      <c r="E1" s="341"/>
      <c r="F1" s="341"/>
      <c r="G1" s="341"/>
      <c r="H1" s="341"/>
    </row>
    <row r="2" spans="1:8" ht="27.6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8" s="9" customFormat="1" ht="50.45" customHeight="1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8" s="12" customFormat="1" ht="26.25" customHeight="1" x14ac:dyDescent="0.25">
      <c r="A4" s="213" t="s">
        <v>174</v>
      </c>
      <c r="B4" s="112">
        <v>2</v>
      </c>
      <c r="C4" s="58" t="s">
        <v>322</v>
      </c>
      <c r="D4" s="45" t="s">
        <v>281</v>
      </c>
      <c r="E4" s="206" t="s">
        <v>271</v>
      </c>
      <c r="F4" s="182" t="s">
        <v>179</v>
      </c>
      <c r="G4" s="239">
        <f>35*1244.57</f>
        <v>43559.95</v>
      </c>
      <c r="H4" s="215">
        <v>13</v>
      </c>
    </row>
    <row r="5" spans="1:8" s="12" customFormat="1" ht="25.5" x14ac:dyDescent="0.25">
      <c r="A5" s="240" t="s">
        <v>175</v>
      </c>
      <c r="B5" s="113">
        <v>3</v>
      </c>
      <c r="C5" s="59" t="s">
        <v>324</v>
      </c>
      <c r="D5" s="10" t="s">
        <v>281</v>
      </c>
      <c r="E5" s="23" t="s">
        <v>271</v>
      </c>
      <c r="F5" s="27" t="s">
        <v>179</v>
      </c>
      <c r="G5" s="88">
        <f t="shared" ref="G5:G6" si="0">35*1244.57</f>
        <v>43559.95</v>
      </c>
      <c r="H5" s="217">
        <v>13</v>
      </c>
    </row>
    <row r="6" spans="1:8" s="12" customFormat="1" ht="25.5" x14ac:dyDescent="0.25">
      <c r="A6" s="241" t="s">
        <v>176</v>
      </c>
      <c r="B6" s="114">
        <v>4</v>
      </c>
      <c r="C6" s="57" t="s">
        <v>323</v>
      </c>
      <c r="D6" s="10" t="s">
        <v>281</v>
      </c>
      <c r="E6" s="23" t="s">
        <v>271</v>
      </c>
      <c r="F6" s="27" t="s">
        <v>179</v>
      </c>
      <c r="G6" s="88">
        <f t="shared" si="0"/>
        <v>43559.95</v>
      </c>
      <c r="H6" s="217">
        <v>13</v>
      </c>
    </row>
    <row r="7" spans="1:8" s="12" customFormat="1" ht="29.25" customHeight="1" thickBot="1" x14ac:dyDescent="0.3">
      <c r="A7" s="216" t="s">
        <v>177</v>
      </c>
      <c r="B7" s="125">
        <v>1</v>
      </c>
      <c r="C7" s="57" t="s">
        <v>178</v>
      </c>
      <c r="D7" s="63" t="s">
        <v>281</v>
      </c>
      <c r="E7" s="118" t="s">
        <v>271</v>
      </c>
      <c r="F7" s="128" t="s">
        <v>180</v>
      </c>
      <c r="G7" s="89">
        <f>5445*20</f>
        <v>108900</v>
      </c>
      <c r="H7" s="227">
        <v>13</v>
      </c>
    </row>
    <row r="8" spans="1:8" ht="24" customHeight="1" thickBot="1" x14ac:dyDescent="0.3">
      <c r="A8" s="102"/>
      <c r="B8" s="109"/>
      <c r="C8" s="104"/>
      <c r="D8" s="103"/>
      <c r="E8" s="129"/>
      <c r="F8" s="130" t="s">
        <v>23</v>
      </c>
      <c r="G8" s="263">
        <f>SUM(G4:G7)</f>
        <v>239579.84999999998</v>
      </c>
      <c r="H8" s="105"/>
    </row>
  </sheetData>
  <mergeCells count="2">
    <mergeCell ref="A1:H1"/>
    <mergeCell ref="A2:H2"/>
  </mergeCells>
  <printOptions horizontalCentered="1"/>
  <pageMargins left="0.7" right="0.7" top="0.75" bottom="0.61" header="0.3" footer="0.3"/>
  <pageSetup scale="6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9"/>
  <sheetViews>
    <sheetView workbookViewId="0">
      <selection activeCell="G17" sqref="G17"/>
    </sheetView>
  </sheetViews>
  <sheetFormatPr defaultColWidth="8.85546875" defaultRowHeight="15" x14ac:dyDescent="0.25"/>
  <cols>
    <col min="1" max="1" width="13.140625" style="25" customWidth="1"/>
    <col min="2" max="2" width="12.85546875" style="25" customWidth="1"/>
    <col min="3" max="3" width="16.28515625" style="25" customWidth="1"/>
    <col min="4" max="4" width="21.28515625" style="25" bestFit="1" customWidth="1"/>
    <col min="5" max="5" width="23.7109375" style="25" customWidth="1"/>
    <col min="6" max="6" width="21.7109375" style="25" customWidth="1"/>
    <col min="7" max="8" width="12.7109375" style="25" customWidth="1"/>
    <col min="9" max="16384" width="8.85546875" style="25"/>
  </cols>
  <sheetData>
    <row r="1" spans="1:9" ht="27.6" customHeight="1" x14ac:dyDescent="0.25">
      <c r="A1" s="341" t="s">
        <v>181</v>
      </c>
      <c r="B1" s="341"/>
      <c r="C1" s="341"/>
      <c r="D1" s="341"/>
      <c r="E1" s="341"/>
      <c r="F1" s="341"/>
      <c r="G1" s="341"/>
      <c r="H1" s="341"/>
    </row>
    <row r="2" spans="1:9" ht="27.6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9" ht="39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9" ht="25.5" x14ac:dyDescent="0.25">
      <c r="A4" s="213" t="s">
        <v>184</v>
      </c>
      <c r="B4" s="214">
        <v>1</v>
      </c>
      <c r="C4" s="58" t="s">
        <v>20</v>
      </c>
      <c r="D4" s="45" t="s">
        <v>281</v>
      </c>
      <c r="E4" s="45" t="s">
        <v>272</v>
      </c>
      <c r="F4" s="45" t="s">
        <v>282</v>
      </c>
      <c r="G4" s="242">
        <f>15*30</f>
        <v>450</v>
      </c>
      <c r="H4" s="243">
        <v>13</v>
      </c>
    </row>
    <row r="5" spans="1:9" ht="24.6" customHeight="1" x14ac:dyDescent="0.25">
      <c r="A5" s="240" t="s">
        <v>185</v>
      </c>
      <c r="B5" s="95">
        <v>3</v>
      </c>
      <c r="C5" s="59" t="s">
        <v>1</v>
      </c>
      <c r="D5" s="10" t="s">
        <v>281</v>
      </c>
      <c r="E5" s="10" t="s">
        <v>272</v>
      </c>
      <c r="F5" s="18" t="s">
        <v>282</v>
      </c>
      <c r="G5" s="86">
        <f>22*35</f>
        <v>770</v>
      </c>
      <c r="H5" s="244">
        <v>13</v>
      </c>
    </row>
    <row r="6" spans="1:9" ht="24.6" customHeight="1" x14ac:dyDescent="0.25">
      <c r="A6" s="216" t="s">
        <v>186</v>
      </c>
      <c r="B6" s="96">
        <v>3</v>
      </c>
      <c r="C6" s="56" t="s">
        <v>1</v>
      </c>
      <c r="D6" s="10" t="s">
        <v>281</v>
      </c>
      <c r="E6" s="10" t="s">
        <v>272</v>
      </c>
      <c r="F6" s="18" t="s">
        <v>295</v>
      </c>
      <c r="G6" s="87">
        <v>0</v>
      </c>
      <c r="H6" s="244">
        <v>13</v>
      </c>
    </row>
    <row r="7" spans="1:9" ht="24.6" customHeight="1" x14ac:dyDescent="0.25">
      <c r="A7" s="216" t="s">
        <v>187</v>
      </c>
      <c r="B7" s="96">
        <v>3</v>
      </c>
      <c r="C7" s="56" t="s">
        <v>166</v>
      </c>
      <c r="D7" s="10" t="s">
        <v>281</v>
      </c>
      <c r="E7" s="10" t="s">
        <v>272</v>
      </c>
      <c r="F7" s="18" t="s">
        <v>282</v>
      </c>
      <c r="G7" s="87">
        <f>(30*45)*2</f>
        <v>2700</v>
      </c>
      <c r="H7" s="244">
        <v>13</v>
      </c>
    </row>
    <row r="8" spans="1:9" ht="24.6" customHeight="1" x14ac:dyDescent="0.25">
      <c r="A8" s="216" t="s">
        <v>188</v>
      </c>
      <c r="B8" s="96">
        <v>3</v>
      </c>
      <c r="C8" s="56" t="s">
        <v>166</v>
      </c>
      <c r="D8" s="10" t="s">
        <v>281</v>
      </c>
      <c r="E8" s="10" t="s">
        <v>272</v>
      </c>
      <c r="F8" s="18" t="s">
        <v>282</v>
      </c>
      <c r="G8" s="87">
        <f t="shared" ref="G8:G9" si="0">(30*45)*2</f>
        <v>2700</v>
      </c>
      <c r="H8" s="245">
        <v>13</v>
      </c>
    </row>
    <row r="9" spans="1:9" ht="24.6" customHeight="1" x14ac:dyDescent="0.25">
      <c r="A9" s="216" t="s">
        <v>189</v>
      </c>
      <c r="B9" s="96">
        <v>3</v>
      </c>
      <c r="C9" s="56" t="s">
        <v>166</v>
      </c>
      <c r="D9" s="10" t="s">
        <v>281</v>
      </c>
      <c r="E9" s="10" t="s">
        <v>272</v>
      </c>
      <c r="F9" s="18" t="s">
        <v>282</v>
      </c>
      <c r="G9" s="87">
        <f t="shared" si="0"/>
        <v>2700</v>
      </c>
      <c r="H9" s="245">
        <v>13</v>
      </c>
    </row>
    <row r="10" spans="1:9" ht="24.6" customHeight="1" x14ac:dyDescent="0.25">
      <c r="A10" s="216" t="s">
        <v>182</v>
      </c>
      <c r="B10" s="96">
        <v>3</v>
      </c>
      <c r="C10" s="56" t="s">
        <v>166</v>
      </c>
      <c r="D10" s="10" t="s">
        <v>281</v>
      </c>
      <c r="E10" s="10" t="s">
        <v>272</v>
      </c>
      <c r="F10" s="27" t="s">
        <v>196</v>
      </c>
      <c r="G10" s="87">
        <f>(200*72.5)+(156*10)</f>
        <v>16060</v>
      </c>
      <c r="H10" s="245">
        <v>13</v>
      </c>
    </row>
    <row r="11" spans="1:9" ht="25.5" x14ac:dyDescent="0.25">
      <c r="A11" s="216" t="s">
        <v>183</v>
      </c>
      <c r="B11" s="96">
        <v>1</v>
      </c>
      <c r="C11" s="56" t="s">
        <v>1</v>
      </c>
      <c r="D11" s="10" t="s">
        <v>281</v>
      </c>
      <c r="E11" s="10" t="s">
        <v>272</v>
      </c>
      <c r="F11" s="10" t="s">
        <v>198</v>
      </c>
      <c r="G11" s="87">
        <f>85*150</f>
        <v>12750</v>
      </c>
      <c r="H11" s="245">
        <v>13</v>
      </c>
      <c r="I11" s="31"/>
    </row>
    <row r="12" spans="1:9" ht="24.6" customHeight="1" x14ac:dyDescent="0.25">
      <c r="A12" s="216" t="s">
        <v>190</v>
      </c>
      <c r="B12" s="96">
        <v>3</v>
      </c>
      <c r="C12" s="56" t="s">
        <v>17</v>
      </c>
      <c r="D12" s="10" t="s">
        <v>281</v>
      </c>
      <c r="E12" s="10" t="s">
        <v>272</v>
      </c>
      <c r="F12" s="18" t="s">
        <v>282</v>
      </c>
      <c r="G12" s="87">
        <f>(30*15)*2</f>
        <v>900</v>
      </c>
      <c r="H12" s="245">
        <v>13</v>
      </c>
    </row>
    <row r="13" spans="1:9" s="153" customFormat="1" ht="25.5" x14ac:dyDescent="0.25">
      <c r="A13" s="273" t="s">
        <v>191</v>
      </c>
      <c r="B13" s="131">
        <v>3</v>
      </c>
      <c r="C13" s="274" t="s">
        <v>194</v>
      </c>
      <c r="D13" s="274" t="s">
        <v>281</v>
      </c>
      <c r="E13" s="274" t="s">
        <v>271</v>
      </c>
      <c r="F13" s="274" t="s">
        <v>296</v>
      </c>
      <c r="G13" s="87">
        <v>15700</v>
      </c>
      <c r="H13" s="275">
        <v>13</v>
      </c>
      <c r="I13" s="156"/>
    </row>
    <row r="14" spans="1:9" ht="24.6" customHeight="1" x14ac:dyDescent="0.25">
      <c r="A14" s="216" t="s">
        <v>192</v>
      </c>
      <c r="B14" s="96">
        <v>3</v>
      </c>
      <c r="C14" s="56" t="s">
        <v>7</v>
      </c>
      <c r="D14" s="10" t="s">
        <v>281</v>
      </c>
      <c r="E14" s="10" t="s">
        <v>272</v>
      </c>
      <c r="F14" s="18" t="s">
        <v>282</v>
      </c>
      <c r="G14" s="92">
        <f>(8*10)+(4*10)</f>
        <v>120</v>
      </c>
      <c r="H14" s="245">
        <v>13</v>
      </c>
    </row>
    <row r="15" spans="1:9" ht="24" customHeight="1" x14ac:dyDescent="0.25">
      <c r="A15" s="218" t="s">
        <v>193</v>
      </c>
      <c r="B15" s="125">
        <v>3</v>
      </c>
      <c r="C15" s="57" t="s">
        <v>195</v>
      </c>
      <c r="D15" s="63" t="s">
        <v>281</v>
      </c>
      <c r="E15" s="118" t="s">
        <v>271</v>
      </c>
      <c r="F15" s="63" t="s">
        <v>197</v>
      </c>
      <c r="G15" s="126">
        <f>100*100</f>
        <v>10000</v>
      </c>
      <c r="H15" s="246">
        <v>13</v>
      </c>
    </row>
    <row r="16" spans="1:9" s="324" customFormat="1" ht="24" customHeight="1" thickBot="1" x14ac:dyDescent="0.3">
      <c r="A16" s="250" t="s">
        <v>315</v>
      </c>
      <c r="B16" s="251">
        <v>3</v>
      </c>
      <c r="C16" s="252" t="s">
        <v>20</v>
      </c>
      <c r="D16" s="252" t="s">
        <v>281</v>
      </c>
      <c r="E16" s="322" t="s">
        <v>272</v>
      </c>
      <c r="F16" s="252" t="s">
        <v>282</v>
      </c>
      <c r="G16" s="253">
        <v>100</v>
      </c>
      <c r="H16" s="323">
        <v>13</v>
      </c>
    </row>
    <row r="17" spans="1:8" ht="24" customHeight="1" thickBot="1" x14ac:dyDescent="0.3">
      <c r="A17" s="119"/>
      <c r="B17" s="120"/>
      <c r="C17" s="120"/>
      <c r="D17" s="121"/>
      <c r="E17" s="121"/>
      <c r="F17" s="122" t="s">
        <v>23</v>
      </c>
      <c r="G17" s="271">
        <f>SUM(G4:G16)</f>
        <v>64950</v>
      </c>
      <c r="H17" s="124"/>
    </row>
    <row r="18" spans="1:8" x14ac:dyDescent="0.25">
      <c r="A18" s="346"/>
      <c r="B18" s="347"/>
      <c r="C18" s="347"/>
      <c r="D18" s="347"/>
      <c r="E18" s="32"/>
      <c r="F18" s="31"/>
      <c r="G18" s="31"/>
    </row>
    <row r="19" spans="1:8" x14ac:dyDescent="0.25">
      <c r="A19" s="4"/>
      <c r="B19" s="31"/>
      <c r="C19" s="32"/>
      <c r="D19" s="32"/>
      <c r="E19" s="32"/>
      <c r="F19" s="31"/>
      <c r="G19" s="31"/>
    </row>
  </sheetData>
  <mergeCells count="3">
    <mergeCell ref="A18:D18"/>
    <mergeCell ref="A1:H1"/>
    <mergeCell ref="A2:H2"/>
  </mergeCells>
  <printOptions horizontalCentered="1"/>
  <pageMargins left="0.7" right="0.7" top="0.75" bottom="0.75" header="0.3" footer="0.3"/>
  <pageSetup scale="6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42AC-56B0-44FD-9791-46A9A6BD9543}">
  <sheetPr>
    <pageSetUpPr fitToPage="1"/>
  </sheetPr>
  <dimension ref="A1:J30"/>
  <sheetViews>
    <sheetView topLeftCell="A20" workbookViewId="0">
      <selection activeCell="F28" sqref="F28"/>
    </sheetView>
  </sheetViews>
  <sheetFormatPr defaultColWidth="8.85546875" defaultRowHeight="15" x14ac:dyDescent="0.25"/>
  <cols>
    <col min="1" max="2" width="12.7109375" style="25" customWidth="1"/>
    <col min="3" max="3" width="21.28515625" style="25" customWidth="1"/>
    <col min="4" max="4" width="21.28515625" style="25" bestFit="1" customWidth="1"/>
    <col min="5" max="5" width="23.7109375" style="25" customWidth="1"/>
    <col min="6" max="6" width="23.140625" style="25" customWidth="1"/>
    <col min="7" max="8" width="12.7109375" style="25" customWidth="1"/>
    <col min="9" max="9" width="12.85546875" style="25" customWidth="1"/>
    <col min="10" max="16384" width="8.85546875" style="25"/>
  </cols>
  <sheetData>
    <row r="1" spans="1:10" ht="27.6" customHeight="1" x14ac:dyDescent="0.25">
      <c r="A1" s="341" t="s">
        <v>270</v>
      </c>
      <c r="B1" s="341"/>
      <c r="C1" s="341"/>
      <c r="D1" s="341"/>
      <c r="E1" s="341"/>
      <c r="F1" s="341"/>
      <c r="G1" s="341"/>
      <c r="H1" s="341"/>
    </row>
    <row r="2" spans="1:10" ht="27.6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10" ht="39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10" s="153" customFormat="1" ht="24" customHeight="1" x14ac:dyDescent="0.25">
      <c r="A4" s="213" t="s">
        <v>212</v>
      </c>
      <c r="B4" s="112">
        <v>8</v>
      </c>
      <c r="C4" s="58" t="s">
        <v>15</v>
      </c>
      <c r="D4" s="58" t="s">
        <v>281</v>
      </c>
      <c r="E4" s="58" t="s">
        <v>272</v>
      </c>
      <c r="F4" s="276" t="s">
        <v>282</v>
      </c>
      <c r="G4" s="277">
        <v>500</v>
      </c>
      <c r="H4" s="278">
        <v>13</v>
      </c>
    </row>
    <row r="5" spans="1:10" ht="25.5" x14ac:dyDescent="0.25">
      <c r="A5" s="216" t="s">
        <v>218</v>
      </c>
      <c r="B5" s="115">
        <v>9</v>
      </c>
      <c r="C5" s="56" t="s">
        <v>231</v>
      </c>
      <c r="D5" s="10" t="s">
        <v>281</v>
      </c>
      <c r="E5" s="23" t="s">
        <v>271</v>
      </c>
      <c r="F5" s="22" t="s">
        <v>282</v>
      </c>
      <c r="G5" s="87">
        <f>85*10</f>
        <v>850</v>
      </c>
      <c r="H5" s="244">
        <v>13</v>
      </c>
    </row>
    <row r="6" spans="1:10" ht="25.5" x14ac:dyDescent="0.25">
      <c r="A6" s="216" t="s">
        <v>213</v>
      </c>
      <c r="B6" s="115">
        <v>9</v>
      </c>
      <c r="C6" s="56" t="s">
        <v>224</v>
      </c>
      <c r="D6" s="10" t="s">
        <v>281</v>
      </c>
      <c r="E6" s="23" t="s">
        <v>271</v>
      </c>
      <c r="F6" s="22" t="s">
        <v>282</v>
      </c>
      <c r="G6" s="87">
        <v>1500</v>
      </c>
      <c r="H6" s="244">
        <v>13</v>
      </c>
    </row>
    <row r="7" spans="1:10" ht="24" customHeight="1" x14ac:dyDescent="0.25">
      <c r="A7" s="216" t="s">
        <v>214</v>
      </c>
      <c r="B7" s="115">
        <v>8</v>
      </c>
      <c r="C7" s="56" t="s">
        <v>1</v>
      </c>
      <c r="D7" s="10" t="s">
        <v>281</v>
      </c>
      <c r="E7" s="23" t="s">
        <v>271</v>
      </c>
      <c r="F7" s="22" t="s">
        <v>282</v>
      </c>
      <c r="G7" s="92">
        <f>45*10</f>
        <v>450</v>
      </c>
      <c r="H7" s="244">
        <v>13</v>
      </c>
    </row>
    <row r="8" spans="1:10" ht="25.5" x14ac:dyDescent="0.25">
      <c r="A8" s="216" t="s">
        <v>215</v>
      </c>
      <c r="B8" s="115">
        <v>8</v>
      </c>
      <c r="C8" s="56" t="s">
        <v>224</v>
      </c>
      <c r="D8" s="10" t="s">
        <v>281</v>
      </c>
      <c r="E8" s="23" t="s">
        <v>271</v>
      </c>
      <c r="F8" s="22" t="s">
        <v>282</v>
      </c>
      <c r="G8" s="92">
        <f>22*10</f>
        <v>220</v>
      </c>
      <c r="H8" s="244">
        <v>13</v>
      </c>
    </row>
    <row r="9" spans="1:10" ht="25.5" x14ac:dyDescent="0.25">
      <c r="A9" s="216" t="s">
        <v>216</v>
      </c>
      <c r="B9" s="115">
        <v>8</v>
      </c>
      <c r="C9" s="56" t="s">
        <v>224</v>
      </c>
      <c r="D9" s="10" t="s">
        <v>281</v>
      </c>
      <c r="E9" s="23" t="s">
        <v>271</v>
      </c>
      <c r="F9" s="22" t="s">
        <v>282</v>
      </c>
      <c r="G9" s="92">
        <f>22*10</f>
        <v>220</v>
      </c>
      <c r="H9" s="244">
        <v>13</v>
      </c>
    </row>
    <row r="10" spans="1:10" ht="25.5" x14ac:dyDescent="0.25">
      <c r="A10" s="216" t="s">
        <v>203</v>
      </c>
      <c r="B10" s="115">
        <v>6</v>
      </c>
      <c r="C10" s="56" t="s">
        <v>223</v>
      </c>
      <c r="D10" s="10" t="s">
        <v>281</v>
      </c>
      <c r="E10" s="23" t="s">
        <v>271</v>
      </c>
      <c r="F10" s="22" t="s">
        <v>282</v>
      </c>
      <c r="G10" s="87">
        <f>60*5</f>
        <v>300</v>
      </c>
      <c r="H10" s="244">
        <v>13</v>
      </c>
    </row>
    <row r="11" spans="1:10" ht="25.5" x14ac:dyDescent="0.25">
      <c r="A11" s="216" t="s">
        <v>204</v>
      </c>
      <c r="B11" s="115">
        <v>3</v>
      </c>
      <c r="C11" s="56" t="s">
        <v>224</v>
      </c>
      <c r="D11" s="10" t="s">
        <v>281</v>
      </c>
      <c r="E11" s="23" t="s">
        <v>271</v>
      </c>
      <c r="F11" s="22" t="s">
        <v>282</v>
      </c>
      <c r="G11" s="92">
        <f>22*10</f>
        <v>220</v>
      </c>
      <c r="H11" s="244">
        <v>13</v>
      </c>
    </row>
    <row r="12" spans="1:10" ht="25.5" x14ac:dyDescent="0.25">
      <c r="A12" s="216" t="s">
        <v>205</v>
      </c>
      <c r="B12" s="115">
        <v>2</v>
      </c>
      <c r="C12" s="56" t="s">
        <v>225</v>
      </c>
      <c r="D12" s="10" t="s">
        <v>281</v>
      </c>
      <c r="E12" s="23" t="s">
        <v>271</v>
      </c>
      <c r="F12" s="22" t="s">
        <v>282</v>
      </c>
      <c r="G12" s="87">
        <f>20*75</f>
        <v>1500</v>
      </c>
      <c r="H12" s="244">
        <v>13</v>
      </c>
    </row>
    <row r="13" spans="1:10" ht="25.5" x14ac:dyDescent="0.25">
      <c r="A13" s="216" t="s">
        <v>206</v>
      </c>
      <c r="B13" s="115">
        <v>2</v>
      </c>
      <c r="C13" s="56" t="s">
        <v>224</v>
      </c>
      <c r="D13" s="10" t="s">
        <v>281</v>
      </c>
      <c r="E13" s="23" t="s">
        <v>271</v>
      </c>
      <c r="F13" s="22" t="s">
        <v>282</v>
      </c>
      <c r="G13" s="92">
        <f>22*10</f>
        <v>220</v>
      </c>
      <c r="H13" s="244">
        <v>13</v>
      </c>
    </row>
    <row r="14" spans="1:10" ht="38.25" x14ac:dyDescent="0.25">
      <c r="A14" s="216" t="s">
        <v>207</v>
      </c>
      <c r="B14" s="96">
        <v>5</v>
      </c>
      <c r="C14" s="56" t="s">
        <v>226</v>
      </c>
      <c r="D14" s="10" t="s">
        <v>281</v>
      </c>
      <c r="E14" s="23" t="s">
        <v>271</v>
      </c>
      <c r="F14" s="27" t="s">
        <v>233</v>
      </c>
      <c r="G14" s="87">
        <f>40*75</f>
        <v>3000</v>
      </c>
      <c r="H14" s="245">
        <v>13</v>
      </c>
      <c r="I14" s="33"/>
    </row>
    <row r="15" spans="1:10" ht="38.25" x14ac:dyDescent="0.25">
      <c r="A15" s="216" t="s">
        <v>199</v>
      </c>
      <c r="B15" s="96">
        <v>1</v>
      </c>
      <c r="C15" s="56" t="s">
        <v>221</v>
      </c>
      <c r="D15" s="10" t="s">
        <v>281</v>
      </c>
      <c r="E15" s="23" t="s">
        <v>271</v>
      </c>
      <c r="F15" s="27" t="s">
        <v>233</v>
      </c>
      <c r="G15" s="87">
        <f>6500+12000</f>
        <v>18500</v>
      </c>
      <c r="H15" s="245">
        <v>13</v>
      </c>
      <c r="I15" s="31"/>
      <c r="J15" s="31"/>
    </row>
    <row r="16" spans="1:10" ht="24.6" customHeight="1" x14ac:dyDescent="0.25">
      <c r="A16" s="216" t="s">
        <v>208</v>
      </c>
      <c r="B16" s="115">
        <v>2</v>
      </c>
      <c r="C16" s="56" t="s">
        <v>12</v>
      </c>
      <c r="D16" s="10" t="s">
        <v>281</v>
      </c>
      <c r="E16" s="10" t="s">
        <v>272</v>
      </c>
      <c r="F16" s="22" t="s">
        <v>282</v>
      </c>
      <c r="G16" s="92">
        <f>(5.0463*5.0463)*3.1416</f>
        <v>80.001295416503979</v>
      </c>
      <c r="H16" s="244">
        <v>13</v>
      </c>
    </row>
    <row r="17" spans="1:8" s="153" customFormat="1" ht="38.25" x14ac:dyDescent="0.25">
      <c r="A17" s="216" t="s">
        <v>217</v>
      </c>
      <c r="B17" s="96">
        <v>8</v>
      </c>
      <c r="C17" s="56" t="s">
        <v>230</v>
      </c>
      <c r="D17" s="56" t="s">
        <v>281</v>
      </c>
      <c r="E17" s="274" t="s">
        <v>271</v>
      </c>
      <c r="F17" s="279" t="s">
        <v>233</v>
      </c>
      <c r="G17" s="87">
        <v>13000</v>
      </c>
      <c r="H17" s="280">
        <v>13</v>
      </c>
    </row>
    <row r="18" spans="1:8" ht="38.25" x14ac:dyDescent="0.25">
      <c r="A18" s="216" t="s">
        <v>209</v>
      </c>
      <c r="B18" s="96">
        <v>7</v>
      </c>
      <c r="C18" s="56" t="s">
        <v>227</v>
      </c>
      <c r="D18" s="10" t="s">
        <v>281</v>
      </c>
      <c r="E18" s="23" t="s">
        <v>271</v>
      </c>
      <c r="F18" s="27" t="s">
        <v>233</v>
      </c>
      <c r="G18" s="87">
        <f>80*80</f>
        <v>6400</v>
      </c>
      <c r="H18" s="245">
        <v>13</v>
      </c>
    </row>
    <row r="19" spans="1:8" s="153" customFormat="1" ht="38.25" x14ac:dyDescent="0.25">
      <c r="A19" s="216" t="s">
        <v>220</v>
      </c>
      <c r="B19" s="96">
        <v>1</v>
      </c>
      <c r="C19" s="56" t="s">
        <v>232</v>
      </c>
      <c r="D19" s="56" t="s">
        <v>281</v>
      </c>
      <c r="E19" s="274" t="s">
        <v>271</v>
      </c>
      <c r="F19" s="279" t="s">
        <v>233</v>
      </c>
      <c r="G19" s="87">
        <v>14000</v>
      </c>
      <c r="H19" s="280">
        <v>13</v>
      </c>
    </row>
    <row r="20" spans="1:8" ht="38.25" x14ac:dyDescent="0.25">
      <c r="A20" s="216" t="s">
        <v>211</v>
      </c>
      <c r="B20" s="115">
        <v>6</v>
      </c>
      <c r="C20" s="56" t="s">
        <v>229</v>
      </c>
      <c r="D20" s="10" t="s">
        <v>281</v>
      </c>
      <c r="E20" s="23" t="s">
        <v>271</v>
      </c>
      <c r="F20" s="27" t="s">
        <v>233</v>
      </c>
      <c r="G20" s="87">
        <f>(240*15)+(145+160)*5</f>
        <v>5125</v>
      </c>
      <c r="H20" s="245">
        <v>13</v>
      </c>
    </row>
    <row r="21" spans="1:8" ht="23.45" customHeight="1" x14ac:dyDescent="0.25">
      <c r="A21" s="240" t="s">
        <v>201</v>
      </c>
      <c r="B21" s="113">
        <v>2</v>
      </c>
      <c r="C21" s="59" t="s">
        <v>12</v>
      </c>
      <c r="D21" s="18" t="s">
        <v>281</v>
      </c>
      <c r="E21" s="18" t="s">
        <v>272</v>
      </c>
      <c r="F21" s="22" t="s">
        <v>282</v>
      </c>
      <c r="G21" s="92">
        <f t="shared" ref="G21:G22" si="0">(5.0463*5.0463)*3.1416</f>
        <v>80.001295416503979</v>
      </c>
      <c r="H21" s="244">
        <v>13</v>
      </c>
    </row>
    <row r="22" spans="1:8" ht="23.45" customHeight="1" x14ac:dyDescent="0.25">
      <c r="A22" s="216" t="s">
        <v>202</v>
      </c>
      <c r="B22" s="115">
        <v>2</v>
      </c>
      <c r="C22" s="56" t="s">
        <v>12</v>
      </c>
      <c r="D22" s="10" t="s">
        <v>281</v>
      </c>
      <c r="E22" s="10" t="s">
        <v>272</v>
      </c>
      <c r="F22" s="22" t="s">
        <v>282</v>
      </c>
      <c r="G22" s="92">
        <f t="shared" si="0"/>
        <v>80.001295416503979</v>
      </c>
      <c r="H22" s="244">
        <v>13</v>
      </c>
    </row>
    <row r="23" spans="1:8" ht="23.45" customHeight="1" x14ac:dyDescent="0.25">
      <c r="A23" s="216" t="s">
        <v>297</v>
      </c>
      <c r="B23" s="115">
        <v>1</v>
      </c>
      <c r="C23" s="56" t="s">
        <v>15</v>
      </c>
      <c r="D23" s="10" t="s">
        <v>281</v>
      </c>
      <c r="E23" s="10" t="s">
        <v>272</v>
      </c>
      <c r="F23" s="22" t="s">
        <v>282</v>
      </c>
      <c r="G23" s="92">
        <f>15*15</f>
        <v>225</v>
      </c>
      <c r="H23" s="244">
        <v>13</v>
      </c>
    </row>
    <row r="24" spans="1:8" s="153" customFormat="1" ht="38.25" x14ac:dyDescent="0.25">
      <c r="A24" s="216" t="s">
        <v>210</v>
      </c>
      <c r="B24" s="96">
        <v>5</v>
      </c>
      <c r="C24" s="56" t="s">
        <v>228</v>
      </c>
      <c r="D24" s="56" t="s">
        <v>281</v>
      </c>
      <c r="E24" s="274" t="s">
        <v>271</v>
      </c>
      <c r="F24" s="279" t="s">
        <v>233</v>
      </c>
      <c r="G24" s="87">
        <v>5000</v>
      </c>
      <c r="H24" s="280">
        <v>13</v>
      </c>
    </row>
    <row r="25" spans="1:8" ht="25.5" x14ac:dyDescent="0.25">
      <c r="A25" s="216" t="s">
        <v>200</v>
      </c>
      <c r="B25" s="96"/>
      <c r="C25" s="56" t="s">
        <v>222</v>
      </c>
      <c r="D25" s="10" t="s">
        <v>281</v>
      </c>
      <c r="E25" s="23" t="s">
        <v>271</v>
      </c>
      <c r="F25" s="22" t="s">
        <v>282</v>
      </c>
      <c r="G25" s="87">
        <v>1500</v>
      </c>
      <c r="H25" s="245">
        <v>13</v>
      </c>
    </row>
    <row r="26" spans="1:8" ht="24" customHeight="1" x14ac:dyDescent="0.25">
      <c r="A26" s="218" t="s">
        <v>219</v>
      </c>
      <c r="B26" s="125">
        <v>4</v>
      </c>
      <c r="C26" s="57" t="s">
        <v>21</v>
      </c>
      <c r="D26" s="63" t="s">
        <v>281</v>
      </c>
      <c r="E26" s="118" t="s">
        <v>271</v>
      </c>
      <c r="F26" s="23" t="s">
        <v>282</v>
      </c>
      <c r="G26" s="126">
        <f>37.5*40</f>
        <v>1500</v>
      </c>
      <c r="H26" s="245">
        <v>13</v>
      </c>
    </row>
    <row r="27" spans="1:8" ht="24" customHeight="1" thickBot="1" x14ac:dyDescent="0.3">
      <c r="A27" s="218" t="s">
        <v>329</v>
      </c>
      <c r="B27" s="251"/>
      <c r="C27" s="56" t="s">
        <v>15</v>
      </c>
      <c r="D27" s="63" t="s">
        <v>281</v>
      </c>
      <c r="E27" s="118" t="s">
        <v>271</v>
      </c>
      <c r="F27" s="61" t="s">
        <v>282</v>
      </c>
      <c r="G27" s="253">
        <v>1500</v>
      </c>
      <c r="H27" s="325"/>
    </row>
    <row r="28" spans="1:8" ht="24" customHeight="1" thickBot="1" x14ac:dyDescent="0.3">
      <c r="A28" s="119"/>
      <c r="B28" s="120"/>
      <c r="C28" s="120"/>
      <c r="D28" s="120"/>
      <c r="E28" s="121"/>
      <c r="F28" s="326" t="s">
        <v>23</v>
      </c>
      <c r="G28" s="271">
        <f>SUM(G4:G27)</f>
        <v>75970.003886249498</v>
      </c>
      <c r="H28" s="127"/>
    </row>
    <row r="29" spans="1:8" x14ac:dyDescent="0.25">
      <c r="A29" s="4"/>
      <c r="B29" s="31"/>
      <c r="C29" s="32"/>
      <c r="D29" s="32"/>
      <c r="E29" s="32"/>
      <c r="F29" s="31"/>
      <c r="G29" s="31"/>
    </row>
    <row r="30" spans="1:8" x14ac:dyDescent="0.25">
      <c r="A30" s="4"/>
      <c r="B30" s="31"/>
      <c r="C30" s="32"/>
      <c r="D30" s="32"/>
      <c r="E30" s="32"/>
      <c r="F30" s="31"/>
      <c r="G30" s="31"/>
    </row>
  </sheetData>
  <sortState xmlns:xlrd2="http://schemas.microsoft.com/office/spreadsheetml/2017/richdata2" ref="A4:H26">
    <sortCondition ref="A4:A26"/>
  </sortState>
  <mergeCells count="2">
    <mergeCell ref="A1:H1"/>
    <mergeCell ref="A2:H2"/>
  </mergeCells>
  <phoneticPr fontId="15" type="noConversion"/>
  <pageMargins left="0.7" right="0.7" top="0.75" bottom="0.75" header="0.3" footer="0.3"/>
  <pageSetup scale="6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F673-3902-44D8-85E9-63E7B7699E1A}">
  <sheetPr>
    <pageSetUpPr fitToPage="1"/>
  </sheetPr>
  <dimension ref="A1:I27"/>
  <sheetViews>
    <sheetView workbookViewId="0">
      <selection sqref="A1:H1"/>
    </sheetView>
  </sheetViews>
  <sheetFormatPr defaultColWidth="8.85546875" defaultRowHeight="15" x14ac:dyDescent="0.25"/>
  <cols>
    <col min="1" max="2" width="12.7109375" style="25" customWidth="1"/>
    <col min="3" max="3" width="16.28515625" style="25" customWidth="1"/>
    <col min="4" max="4" width="19.7109375" style="25" bestFit="1" customWidth="1"/>
    <col min="5" max="5" width="21.42578125" style="25" bestFit="1" customWidth="1"/>
    <col min="6" max="6" width="21.7109375" style="25" customWidth="1"/>
    <col min="7" max="8" width="12.7109375" style="25" customWidth="1"/>
    <col min="9" max="9" width="12.85546875" style="25" customWidth="1"/>
    <col min="10" max="16384" width="8.85546875" style="25"/>
  </cols>
  <sheetData>
    <row r="1" spans="1:9" ht="27.6" customHeight="1" x14ac:dyDescent="0.25">
      <c r="A1" s="341" t="s">
        <v>328</v>
      </c>
      <c r="B1" s="341"/>
      <c r="C1" s="341"/>
      <c r="D1" s="341"/>
      <c r="E1" s="341"/>
      <c r="F1" s="341"/>
      <c r="G1" s="341"/>
      <c r="H1" s="341"/>
    </row>
    <row r="2" spans="1:9" ht="27.6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9" ht="39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9" ht="21" customHeight="1" x14ac:dyDescent="0.25">
      <c r="A4" s="181" t="s">
        <v>246</v>
      </c>
      <c r="B4" s="107">
        <v>2</v>
      </c>
      <c r="C4" s="45" t="s">
        <v>1</v>
      </c>
      <c r="D4" s="45" t="s">
        <v>281</v>
      </c>
      <c r="E4" s="45" t="s">
        <v>272</v>
      </c>
      <c r="F4" s="91" t="s">
        <v>282</v>
      </c>
      <c r="G4" s="254">
        <f>22*10</f>
        <v>220</v>
      </c>
      <c r="H4" s="243">
        <v>13</v>
      </c>
    </row>
    <row r="5" spans="1:9" ht="26.45" customHeight="1" x14ac:dyDescent="0.25">
      <c r="A5" s="193" t="s">
        <v>247</v>
      </c>
      <c r="B5" s="8">
        <v>1</v>
      </c>
      <c r="C5" s="10" t="s">
        <v>1</v>
      </c>
      <c r="D5" s="10" t="s">
        <v>281</v>
      </c>
      <c r="E5" s="10" t="s">
        <v>272</v>
      </c>
      <c r="F5" s="10" t="s">
        <v>282</v>
      </c>
      <c r="G5" s="90">
        <v>80</v>
      </c>
      <c r="H5" s="244">
        <v>13</v>
      </c>
    </row>
    <row r="6" spans="1:9" ht="26.45" customHeight="1" x14ac:dyDescent="0.25">
      <c r="A6" s="193" t="s">
        <v>253</v>
      </c>
      <c r="B6" s="8">
        <v>6</v>
      </c>
      <c r="C6" s="10" t="s">
        <v>12</v>
      </c>
      <c r="D6" s="10" t="s">
        <v>281</v>
      </c>
      <c r="E6" s="10" t="s">
        <v>272</v>
      </c>
      <c r="F6" s="10" t="s">
        <v>282</v>
      </c>
      <c r="G6" s="92">
        <f>(5.0463*5.0463)*3.1416</f>
        <v>80.001295416503979</v>
      </c>
      <c r="H6" s="244">
        <v>13</v>
      </c>
    </row>
    <row r="7" spans="1:9" ht="24" customHeight="1" x14ac:dyDescent="0.25">
      <c r="A7" s="193" t="s">
        <v>254</v>
      </c>
      <c r="B7" s="8">
        <v>2</v>
      </c>
      <c r="C7" s="10" t="s">
        <v>1</v>
      </c>
      <c r="D7" s="10" t="s">
        <v>281</v>
      </c>
      <c r="E7" s="23" t="s">
        <v>271</v>
      </c>
      <c r="F7" s="10" t="s">
        <v>302</v>
      </c>
      <c r="G7" s="88">
        <f>100*10</f>
        <v>1000</v>
      </c>
      <c r="H7" s="244">
        <v>13</v>
      </c>
    </row>
    <row r="8" spans="1:9" ht="24" customHeight="1" x14ac:dyDescent="0.25">
      <c r="A8" s="193" t="s">
        <v>248</v>
      </c>
      <c r="B8" s="8">
        <v>3</v>
      </c>
      <c r="C8" s="10" t="s">
        <v>12</v>
      </c>
      <c r="D8" s="10" t="s">
        <v>281</v>
      </c>
      <c r="E8" s="23" t="s">
        <v>271</v>
      </c>
      <c r="F8" s="10" t="s">
        <v>282</v>
      </c>
      <c r="G8" s="116">
        <v>80</v>
      </c>
      <c r="H8" s="244">
        <v>13</v>
      </c>
    </row>
    <row r="9" spans="1:9" ht="24" customHeight="1" x14ac:dyDescent="0.25">
      <c r="A9" s="193" t="s">
        <v>234</v>
      </c>
      <c r="B9" s="8">
        <v>3</v>
      </c>
      <c r="C9" s="10" t="s">
        <v>300</v>
      </c>
      <c r="D9" s="10" t="s">
        <v>281</v>
      </c>
      <c r="E9" s="23" t="s">
        <v>271</v>
      </c>
      <c r="F9" s="10" t="s">
        <v>302</v>
      </c>
      <c r="G9" s="88">
        <f>115*10</f>
        <v>1150</v>
      </c>
      <c r="H9" s="244">
        <v>13</v>
      </c>
    </row>
    <row r="10" spans="1:9" s="153" customFormat="1" ht="24" customHeight="1" x14ac:dyDescent="0.25">
      <c r="A10" s="216" t="s">
        <v>235</v>
      </c>
      <c r="B10" s="96">
        <v>6</v>
      </c>
      <c r="C10" s="56" t="s">
        <v>1</v>
      </c>
      <c r="D10" s="56" t="s">
        <v>281</v>
      </c>
      <c r="E10" s="274" t="s">
        <v>271</v>
      </c>
      <c r="F10" s="56" t="s">
        <v>302</v>
      </c>
      <c r="G10" s="87">
        <v>1200</v>
      </c>
      <c r="H10" s="281">
        <v>13</v>
      </c>
    </row>
    <row r="11" spans="1:9" s="153" customFormat="1" ht="24" customHeight="1" x14ac:dyDescent="0.25">
      <c r="A11" s="216" t="s">
        <v>242</v>
      </c>
      <c r="B11" s="96">
        <v>6</v>
      </c>
      <c r="C11" s="56" t="s">
        <v>1</v>
      </c>
      <c r="D11" s="56" t="s">
        <v>281</v>
      </c>
      <c r="E11" s="274" t="s">
        <v>271</v>
      </c>
      <c r="F11" s="56" t="s">
        <v>302</v>
      </c>
      <c r="G11" s="87">
        <v>1200</v>
      </c>
      <c r="H11" s="281">
        <v>13</v>
      </c>
    </row>
    <row r="12" spans="1:9" ht="25.5" x14ac:dyDescent="0.25">
      <c r="A12" s="193" t="s">
        <v>243</v>
      </c>
      <c r="B12" s="8">
        <v>6</v>
      </c>
      <c r="C12" s="10" t="s">
        <v>260</v>
      </c>
      <c r="D12" s="10" t="s">
        <v>281</v>
      </c>
      <c r="E12" s="23" t="s">
        <v>271</v>
      </c>
      <c r="F12" s="10" t="s">
        <v>282</v>
      </c>
      <c r="G12" s="88">
        <f>(100*5)+(15*25)</f>
        <v>875</v>
      </c>
      <c r="H12" s="244">
        <v>13</v>
      </c>
    </row>
    <row r="13" spans="1:9" ht="24.6" customHeight="1" x14ac:dyDescent="0.25">
      <c r="A13" s="193" t="s">
        <v>236</v>
      </c>
      <c r="B13" s="8">
        <v>2</v>
      </c>
      <c r="C13" s="10" t="s">
        <v>18</v>
      </c>
      <c r="D13" s="10" t="s">
        <v>281</v>
      </c>
      <c r="E13" s="23" t="s">
        <v>271</v>
      </c>
      <c r="F13" s="10" t="s">
        <v>282</v>
      </c>
      <c r="G13" s="88">
        <f>30*30</f>
        <v>900</v>
      </c>
      <c r="H13" s="244">
        <v>13</v>
      </c>
    </row>
    <row r="14" spans="1:9" ht="24.6" customHeight="1" x14ac:dyDescent="0.25">
      <c r="A14" s="193" t="s">
        <v>249</v>
      </c>
      <c r="B14" s="8">
        <v>2</v>
      </c>
      <c r="C14" s="10" t="s">
        <v>11</v>
      </c>
      <c r="D14" s="10" t="s">
        <v>281</v>
      </c>
      <c r="E14" s="23" t="s">
        <v>271</v>
      </c>
      <c r="F14" s="10" t="s">
        <v>298</v>
      </c>
      <c r="G14" s="88">
        <f>100*200</f>
        <v>20000</v>
      </c>
      <c r="H14" s="244">
        <v>13</v>
      </c>
    </row>
    <row r="15" spans="1:9" ht="24.6" customHeight="1" x14ac:dyDescent="0.25">
      <c r="A15" s="255" t="s">
        <v>250</v>
      </c>
      <c r="B15" s="94">
        <v>1</v>
      </c>
      <c r="C15" s="10" t="s">
        <v>11</v>
      </c>
      <c r="D15" s="10" t="s">
        <v>281</v>
      </c>
      <c r="E15" s="23" t="s">
        <v>271</v>
      </c>
      <c r="F15" s="27" t="s">
        <v>101</v>
      </c>
      <c r="G15" s="88">
        <f>300*80</f>
        <v>24000</v>
      </c>
      <c r="H15" s="256">
        <v>13</v>
      </c>
      <c r="I15" s="31"/>
    </row>
    <row r="16" spans="1:9" ht="24.6" customHeight="1" x14ac:dyDescent="0.25">
      <c r="A16" s="193" t="s">
        <v>251</v>
      </c>
      <c r="B16" s="8">
        <v>1</v>
      </c>
      <c r="C16" s="10" t="s">
        <v>6</v>
      </c>
      <c r="D16" s="10" t="s">
        <v>281</v>
      </c>
      <c r="E16" s="23" t="s">
        <v>271</v>
      </c>
      <c r="F16" s="10" t="s">
        <v>263</v>
      </c>
      <c r="G16" s="88">
        <f>100*435</f>
        <v>43500</v>
      </c>
      <c r="H16" s="256">
        <v>13</v>
      </c>
    </row>
    <row r="17" spans="1:9" ht="24.6" customHeight="1" x14ac:dyDescent="0.25">
      <c r="A17" s="216" t="s">
        <v>244</v>
      </c>
      <c r="B17" s="96">
        <v>6</v>
      </c>
      <c r="C17" s="56" t="s">
        <v>11</v>
      </c>
      <c r="D17" s="10" t="s">
        <v>281</v>
      </c>
      <c r="E17" s="23" t="s">
        <v>271</v>
      </c>
      <c r="F17" s="27" t="s">
        <v>101</v>
      </c>
      <c r="G17" s="90">
        <f>186*48</f>
        <v>8928</v>
      </c>
      <c r="H17" s="256">
        <v>13</v>
      </c>
      <c r="I17" s="33"/>
    </row>
    <row r="18" spans="1:9" ht="24.6" customHeight="1" x14ac:dyDescent="0.25">
      <c r="A18" s="257" t="s">
        <v>252</v>
      </c>
      <c r="B18" s="117">
        <v>2</v>
      </c>
      <c r="C18" s="10" t="s">
        <v>262</v>
      </c>
      <c r="D18" s="10" t="s">
        <v>281</v>
      </c>
      <c r="E18" s="23" t="s">
        <v>271</v>
      </c>
      <c r="F18" s="10" t="s">
        <v>299</v>
      </c>
      <c r="G18" s="90">
        <f>80*272</f>
        <v>21760</v>
      </c>
      <c r="H18" s="256">
        <v>13</v>
      </c>
      <c r="I18" s="33"/>
    </row>
    <row r="19" spans="1:9" ht="25.5" x14ac:dyDescent="0.25">
      <c r="A19" s="193" t="s">
        <v>237</v>
      </c>
      <c r="B19" s="8">
        <v>5</v>
      </c>
      <c r="C19" s="10" t="s">
        <v>255</v>
      </c>
      <c r="D19" s="10" t="s">
        <v>281</v>
      </c>
      <c r="E19" s="23" t="s">
        <v>271</v>
      </c>
      <c r="F19" s="10" t="s">
        <v>301</v>
      </c>
      <c r="G19" s="88">
        <f>(120*5)+(30*30)</f>
        <v>1500</v>
      </c>
      <c r="H19" s="244">
        <v>13</v>
      </c>
    </row>
    <row r="20" spans="1:9" ht="25.5" x14ac:dyDescent="0.25">
      <c r="A20" s="193" t="s">
        <v>238</v>
      </c>
      <c r="B20" s="8">
        <v>4</v>
      </c>
      <c r="C20" s="10" t="s">
        <v>256</v>
      </c>
      <c r="D20" s="10" t="s">
        <v>281</v>
      </c>
      <c r="E20" s="23" t="s">
        <v>271</v>
      </c>
      <c r="F20" s="10" t="s">
        <v>282</v>
      </c>
      <c r="G20" s="88">
        <f>165*5</f>
        <v>825</v>
      </c>
      <c r="H20" s="244">
        <v>13</v>
      </c>
    </row>
    <row r="21" spans="1:9" ht="25.5" x14ac:dyDescent="0.25">
      <c r="A21" s="193" t="s">
        <v>239</v>
      </c>
      <c r="B21" s="8">
        <v>4</v>
      </c>
      <c r="C21" s="10" t="s">
        <v>257</v>
      </c>
      <c r="D21" s="10" t="s">
        <v>281</v>
      </c>
      <c r="E21" s="23" t="s">
        <v>271</v>
      </c>
      <c r="F21" s="10" t="s">
        <v>301</v>
      </c>
      <c r="G21" s="88">
        <f>(120*5)+(30*30)</f>
        <v>1500</v>
      </c>
      <c r="H21" s="244">
        <v>13</v>
      </c>
    </row>
    <row r="22" spans="1:9" ht="25.5" x14ac:dyDescent="0.25">
      <c r="A22" s="193" t="s">
        <v>240</v>
      </c>
      <c r="B22" s="8">
        <v>2</v>
      </c>
      <c r="C22" s="10" t="s">
        <v>258</v>
      </c>
      <c r="D22" s="10" t="s">
        <v>281</v>
      </c>
      <c r="E22" s="23" t="s">
        <v>271</v>
      </c>
      <c r="F22" s="10" t="s">
        <v>282</v>
      </c>
      <c r="G22" s="88">
        <f>75*15</f>
        <v>1125</v>
      </c>
      <c r="H22" s="244">
        <v>13</v>
      </c>
    </row>
    <row r="23" spans="1:9" ht="25.5" x14ac:dyDescent="0.25">
      <c r="A23" s="193" t="s">
        <v>241</v>
      </c>
      <c r="B23" s="8">
        <v>2</v>
      </c>
      <c r="C23" s="10" t="s">
        <v>259</v>
      </c>
      <c r="D23" s="10" t="s">
        <v>281</v>
      </c>
      <c r="E23" s="23" t="s">
        <v>271</v>
      </c>
      <c r="F23" s="10" t="s">
        <v>282</v>
      </c>
      <c r="G23" s="88">
        <f>100*10</f>
        <v>1000</v>
      </c>
      <c r="H23" s="244">
        <v>13</v>
      </c>
    </row>
    <row r="24" spans="1:9" ht="26.25" thickBot="1" x14ac:dyDescent="0.3">
      <c r="A24" s="187" t="s">
        <v>245</v>
      </c>
      <c r="B24" s="188">
        <v>7</v>
      </c>
      <c r="C24" s="189" t="s">
        <v>261</v>
      </c>
      <c r="D24" s="189" t="s">
        <v>281</v>
      </c>
      <c r="E24" s="236" t="s">
        <v>271</v>
      </c>
      <c r="F24" s="189" t="s">
        <v>282</v>
      </c>
      <c r="G24" s="237">
        <f>115*10</f>
        <v>1150</v>
      </c>
      <c r="H24" s="258">
        <v>13</v>
      </c>
    </row>
    <row r="25" spans="1:9" ht="24" customHeight="1" thickBot="1" x14ac:dyDescent="0.3">
      <c r="A25" s="119"/>
      <c r="B25" s="120"/>
      <c r="C25" s="120"/>
      <c r="D25" s="121"/>
      <c r="E25" s="121"/>
      <c r="F25" s="122" t="s">
        <v>23</v>
      </c>
      <c r="G25" s="271">
        <f>SUM(G4:G24)</f>
        <v>132073.0012954165</v>
      </c>
      <c r="H25" s="124"/>
    </row>
    <row r="26" spans="1:9" x14ac:dyDescent="0.25">
      <c r="A26" s="4"/>
      <c r="B26" s="31"/>
      <c r="C26" s="32"/>
      <c r="D26" s="32"/>
      <c r="E26" s="32"/>
      <c r="F26" s="31"/>
      <c r="G26" s="31"/>
    </row>
    <row r="27" spans="1:9" x14ac:dyDescent="0.25">
      <c r="A27" s="4"/>
      <c r="B27" s="31"/>
      <c r="C27" s="32"/>
      <c r="D27" s="32"/>
      <c r="E27" s="32"/>
      <c r="F27" s="31"/>
      <c r="G27" s="31"/>
    </row>
  </sheetData>
  <sortState xmlns:xlrd2="http://schemas.microsoft.com/office/spreadsheetml/2017/richdata2" ref="A4:H24">
    <sortCondition ref="A4:A24"/>
  </sortState>
  <mergeCells count="2">
    <mergeCell ref="A1:H1"/>
    <mergeCell ref="A2:H2"/>
  </mergeCells>
  <pageMargins left="0.7" right="0.7" top="0.75" bottom="0.75" header="0.3" footer="0.3"/>
  <pageSetup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5C32-C12D-48AF-85E4-73B7F2B531E8}">
  <sheetPr>
    <pageSetUpPr fitToPage="1"/>
  </sheetPr>
  <dimension ref="A1:H5"/>
  <sheetViews>
    <sheetView workbookViewId="0">
      <selection activeCell="G4" sqref="G4"/>
    </sheetView>
  </sheetViews>
  <sheetFormatPr defaultRowHeight="15" x14ac:dyDescent="0.25"/>
  <cols>
    <col min="1" max="2" width="12.85546875" customWidth="1"/>
    <col min="3" max="4" width="21.5703125" customWidth="1"/>
    <col min="5" max="5" width="21.42578125" bestFit="1" customWidth="1"/>
    <col min="6" max="6" width="22.7109375" customWidth="1"/>
    <col min="7" max="8" width="12.7109375" customWidth="1"/>
  </cols>
  <sheetData>
    <row r="1" spans="1:8" s="5" customFormat="1" ht="24.75" customHeight="1" x14ac:dyDescent="0.25">
      <c r="A1" s="341" t="s">
        <v>304</v>
      </c>
      <c r="B1" s="341"/>
      <c r="C1" s="341"/>
      <c r="D1" s="341"/>
      <c r="E1" s="341"/>
      <c r="F1" s="341"/>
      <c r="G1" s="341"/>
      <c r="H1" s="341"/>
    </row>
    <row r="2" spans="1:8" s="5" customFormat="1" ht="21.75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8" s="9" customFormat="1" ht="45.75" customHeight="1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8" s="12" customFormat="1" ht="39" thickBot="1" x14ac:dyDescent="0.3">
      <c r="A4" s="282" t="s">
        <v>304</v>
      </c>
      <c r="B4" s="177">
        <v>1</v>
      </c>
      <c r="C4" s="176" t="s">
        <v>11</v>
      </c>
      <c r="D4" s="177" t="s">
        <v>281</v>
      </c>
      <c r="E4" s="177" t="s">
        <v>272</v>
      </c>
      <c r="F4" s="178" t="s">
        <v>305</v>
      </c>
      <c r="G4" s="179">
        <v>87120</v>
      </c>
      <c r="H4" s="180">
        <v>13</v>
      </c>
    </row>
    <row r="5" spans="1:8" s="98" customFormat="1" ht="24" customHeight="1" thickBot="1" x14ac:dyDescent="0.3">
      <c r="A5" s="133"/>
      <c r="B5" s="134"/>
      <c r="C5" s="135"/>
      <c r="D5" s="136"/>
      <c r="E5" s="136"/>
      <c r="F5" s="123" t="s">
        <v>23</v>
      </c>
      <c r="G5" s="123">
        <f>SUM(G4)</f>
        <v>87120</v>
      </c>
      <c r="H5" s="137"/>
    </row>
  </sheetData>
  <mergeCells count="2">
    <mergeCell ref="A1:H1"/>
    <mergeCell ref="A2:H2"/>
  </mergeCells>
  <pageMargins left="0.7" right="0.7" top="0.75" bottom="0.75" header="0.3" footer="0.3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8840-66EF-40B2-917A-E3837E4CFD4A}">
  <sheetPr>
    <pageSetUpPr fitToPage="1"/>
  </sheetPr>
  <dimension ref="A1:H5"/>
  <sheetViews>
    <sheetView workbookViewId="0">
      <selection activeCell="A4" sqref="A4"/>
    </sheetView>
  </sheetViews>
  <sheetFormatPr defaultRowHeight="15" x14ac:dyDescent="0.25"/>
  <cols>
    <col min="1" max="1" width="12.85546875" customWidth="1"/>
    <col min="2" max="2" width="12.7109375" customWidth="1"/>
    <col min="3" max="4" width="20.42578125" customWidth="1"/>
    <col min="5" max="5" width="23.140625" customWidth="1"/>
    <col min="6" max="6" width="21.28515625" customWidth="1"/>
    <col min="7" max="8" width="12.7109375" customWidth="1"/>
  </cols>
  <sheetData>
    <row r="1" spans="1:8" s="5" customFormat="1" ht="24.75" customHeight="1" x14ac:dyDescent="0.25">
      <c r="A1" s="341" t="s">
        <v>310</v>
      </c>
      <c r="B1" s="341"/>
      <c r="C1" s="341"/>
      <c r="D1" s="341"/>
      <c r="E1" s="341"/>
      <c r="F1" s="341"/>
      <c r="G1" s="341"/>
      <c r="H1" s="341"/>
    </row>
    <row r="2" spans="1:8" s="5" customFormat="1" ht="21.75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8" s="9" customFormat="1" ht="45.75" customHeight="1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8" s="12" customFormat="1" ht="39" thickBot="1" x14ac:dyDescent="0.3">
      <c r="A4" s="282" t="s">
        <v>310</v>
      </c>
      <c r="B4" s="176">
        <v>1</v>
      </c>
      <c r="C4" s="176" t="s">
        <v>11</v>
      </c>
      <c r="D4" s="177" t="s">
        <v>281</v>
      </c>
      <c r="E4" s="177" t="s">
        <v>272</v>
      </c>
      <c r="F4" s="178" t="s">
        <v>308</v>
      </c>
      <c r="G4" s="175">
        <f>1099.31+1087.21</f>
        <v>2186.52</v>
      </c>
      <c r="H4" s="180">
        <v>13</v>
      </c>
    </row>
    <row r="5" spans="1:8" s="98" customFormat="1" ht="24" customHeight="1" thickBot="1" x14ac:dyDescent="0.3">
      <c r="A5" s="133"/>
      <c r="B5" s="134"/>
      <c r="C5" s="135"/>
      <c r="D5" s="136"/>
      <c r="E5" s="136"/>
      <c r="F5" s="123" t="s">
        <v>23</v>
      </c>
      <c r="G5" s="123">
        <f>SUM(G4)</f>
        <v>2186.52</v>
      </c>
      <c r="H5" s="137"/>
    </row>
  </sheetData>
  <mergeCells count="2">
    <mergeCell ref="A1:H1"/>
    <mergeCell ref="A2:H2"/>
  </mergeCells>
  <pageMargins left="0.7" right="0.7" top="0.75" bottom="0.75" header="0.3" footer="0.3"/>
  <pageSetup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72C7-617D-481D-96A4-A3756FAF0D6E}">
  <sheetPr>
    <pageSetUpPr fitToPage="1"/>
  </sheetPr>
  <dimension ref="A1:H5"/>
  <sheetViews>
    <sheetView workbookViewId="0">
      <selection activeCell="A5" sqref="A5"/>
    </sheetView>
  </sheetViews>
  <sheetFormatPr defaultRowHeight="15" x14ac:dyDescent="0.25"/>
  <cols>
    <col min="1" max="2" width="12.85546875" style="14" customWidth="1"/>
    <col min="3" max="4" width="21.5703125" style="14" customWidth="1"/>
    <col min="5" max="5" width="21.42578125" style="14" bestFit="1" customWidth="1"/>
    <col min="6" max="6" width="22.7109375" style="14" customWidth="1"/>
    <col min="7" max="8" width="12.7109375" style="14" customWidth="1"/>
    <col min="9" max="16384" width="9.140625" style="14"/>
  </cols>
  <sheetData>
    <row r="1" spans="1:8" s="5" customFormat="1" ht="24.75" customHeight="1" x14ac:dyDescent="0.25">
      <c r="A1" s="341" t="s">
        <v>320</v>
      </c>
      <c r="B1" s="341"/>
      <c r="C1" s="341"/>
      <c r="D1" s="341"/>
      <c r="E1" s="341"/>
      <c r="F1" s="341"/>
      <c r="G1" s="341"/>
      <c r="H1" s="341"/>
    </row>
    <row r="2" spans="1:8" s="5" customFormat="1" ht="21.75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8" s="9" customFormat="1" ht="45.75" customHeight="1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8" s="12" customFormat="1" ht="39" thickBot="1" x14ac:dyDescent="0.3">
      <c r="A4" s="282" t="s">
        <v>320</v>
      </c>
      <c r="B4" s="175"/>
      <c r="C4" s="176" t="s">
        <v>11</v>
      </c>
      <c r="D4" s="177" t="s">
        <v>281</v>
      </c>
      <c r="E4" s="177" t="s">
        <v>272</v>
      </c>
      <c r="F4" s="178" t="s">
        <v>327</v>
      </c>
      <c r="G4" s="179">
        <v>40000</v>
      </c>
      <c r="H4" s="180">
        <v>13</v>
      </c>
    </row>
    <row r="5" spans="1:8" s="148" customFormat="1" ht="24" customHeight="1" thickBot="1" x14ac:dyDescent="0.3">
      <c r="A5" s="168"/>
      <c r="B5" s="169"/>
      <c r="C5" s="170"/>
      <c r="D5" s="171"/>
      <c r="E5" s="171"/>
      <c r="F5" s="172" t="s">
        <v>23</v>
      </c>
      <c r="G5" s="172">
        <f>SUM(G4)</f>
        <v>40000</v>
      </c>
      <c r="H5" s="173"/>
    </row>
  </sheetData>
  <mergeCells count="2">
    <mergeCell ref="A1:H1"/>
    <mergeCell ref="A2:H2"/>
  </mergeCells>
  <pageMargins left="0.7" right="0.7" top="0.75" bottom="0.75" header="0.3" footer="0.3"/>
  <pageSetup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B197-6A7C-4863-AD09-44342249E330}">
  <sheetPr>
    <pageSetUpPr fitToPage="1"/>
  </sheetPr>
  <dimension ref="A1:H5"/>
  <sheetViews>
    <sheetView workbookViewId="0">
      <selection activeCell="G4" sqref="G4"/>
    </sheetView>
  </sheetViews>
  <sheetFormatPr defaultRowHeight="15" x14ac:dyDescent="0.25"/>
  <cols>
    <col min="1" max="1" width="12.85546875" customWidth="1"/>
    <col min="2" max="2" width="11.42578125" customWidth="1"/>
    <col min="3" max="4" width="12.7109375" customWidth="1"/>
    <col min="5" max="6" width="21.5703125" customWidth="1"/>
    <col min="7" max="8" width="12.7109375" customWidth="1"/>
  </cols>
  <sheetData>
    <row r="1" spans="1:8" s="5" customFormat="1" ht="24.75" customHeight="1" x14ac:dyDescent="0.25">
      <c r="A1" s="341" t="s">
        <v>311</v>
      </c>
      <c r="B1" s="341"/>
      <c r="C1" s="341"/>
      <c r="D1" s="341"/>
      <c r="E1" s="341"/>
      <c r="F1" s="341"/>
      <c r="G1" s="341"/>
      <c r="H1" s="341"/>
    </row>
    <row r="2" spans="1:8" s="5" customFormat="1" ht="21.75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8" s="9" customFormat="1" ht="45.75" customHeight="1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8" s="12" customFormat="1" ht="39" thickBot="1" x14ac:dyDescent="0.3">
      <c r="A4" s="282" t="s">
        <v>311</v>
      </c>
      <c r="B4" s="176">
        <v>1</v>
      </c>
      <c r="C4" s="176" t="s">
        <v>11</v>
      </c>
      <c r="D4" s="177" t="s">
        <v>281</v>
      </c>
      <c r="E4" s="177" t="s">
        <v>272</v>
      </c>
      <c r="F4" s="178" t="s">
        <v>308</v>
      </c>
      <c r="G4" s="179">
        <v>87120</v>
      </c>
      <c r="H4" s="180">
        <v>13</v>
      </c>
    </row>
    <row r="5" spans="1:8" s="98" customFormat="1" ht="24" customHeight="1" thickBot="1" x14ac:dyDescent="0.3">
      <c r="A5" s="133"/>
      <c r="B5" s="134"/>
      <c r="C5" s="135"/>
      <c r="D5" s="136"/>
      <c r="E5" s="136"/>
      <c r="F5" s="123" t="s">
        <v>23</v>
      </c>
      <c r="G5" s="123">
        <f>SUM(G4)</f>
        <v>87120</v>
      </c>
      <c r="H5" s="137"/>
    </row>
  </sheetData>
  <mergeCells count="2">
    <mergeCell ref="A1:H1"/>
    <mergeCell ref="A2:H2"/>
  </mergeCells>
  <pageMargins left="0.7" right="0.7" top="0.75" bottom="0.75" header="0.3" footer="0.3"/>
  <pageSetup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2EFD8-4924-4AB6-A64D-7EF256F8E68E}">
  <sheetPr>
    <pageSetUpPr fitToPage="1"/>
  </sheetPr>
  <dimension ref="A1:H5"/>
  <sheetViews>
    <sheetView workbookViewId="0">
      <selection activeCell="E5" sqref="E5"/>
    </sheetView>
  </sheetViews>
  <sheetFormatPr defaultRowHeight="15" x14ac:dyDescent="0.25"/>
  <cols>
    <col min="1" max="2" width="12.7109375" customWidth="1"/>
    <col min="3" max="3" width="14.85546875" customWidth="1"/>
    <col min="4" max="4" width="20.7109375" customWidth="1"/>
    <col min="5" max="6" width="22.28515625" customWidth="1"/>
    <col min="7" max="8" width="12.7109375" customWidth="1"/>
  </cols>
  <sheetData>
    <row r="1" spans="1:8" s="5" customFormat="1" ht="24.75" customHeight="1" x14ac:dyDescent="0.25">
      <c r="A1" s="341" t="s">
        <v>312</v>
      </c>
      <c r="B1" s="341"/>
      <c r="C1" s="341"/>
      <c r="D1" s="341"/>
      <c r="E1" s="341"/>
      <c r="F1" s="341"/>
      <c r="G1" s="341"/>
      <c r="H1" s="341"/>
    </row>
    <row r="2" spans="1:8" s="5" customFormat="1" ht="21.75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8" s="9" customFormat="1" ht="45.75" customHeight="1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8" s="12" customFormat="1" ht="39" thickBot="1" x14ac:dyDescent="0.3">
      <c r="A4" s="174" t="s">
        <v>34</v>
      </c>
      <c r="B4" s="176">
        <v>1</v>
      </c>
      <c r="C4" s="176" t="s">
        <v>11</v>
      </c>
      <c r="D4" s="177" t="s">
        <v>281</v>
      </c>
      <c r="E4" s="177" t="s">
        <v>272</v>
      </c>
      <c r="F4" s="178" t="s">
        <v>308</v>
      </c>
      <c r="G4" s="179">
        <v>217800</v>
      </c>
      <c r="H4" s="180">
        <v>13</v>
      </c>
    </row>
    <row r="5" spans="1:8" s="98" customFormat="1" ht="24.75" customHeight="1" thickBot="1" x14ac:dyDescent="0.3">
      <c r="A5" s="133"/>
      <c r="B5" s="134"/>
      <c r="C5" s="135"/>
      <c r="D5" s="136"/>
      <c r="E5" s="136"/>
      <c r="F5" s="123" t="s">
        <v>23</v>
      </c>
      <c r="G5" s="123">
        <f>SUM(G4)</f>
        <v>217800</v>
      </c>
      <c r="H5" s="137"/>
    </row>
  </sheetData>
  <mergeCells count="2">
    <mergeCell ref="A1:H1"/>
    <mergeCell ref="A2:H2"/>
  </mergeCells>
  <pageMargins left="0.7" right="0.7" top="0.75" bottom="0.75" header="0.3" footer="0.3"/>
  <pageSetup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7"/>
  <sheetViews>
    <sheetView workbookViewId="0">
      <selection activeCell="E5" sqref="E5"/>
    </sheetView>
  </sheetViews>
  <sheetFormatPr defaultColWidth="14.85546875" defaultRowHeight="15" x14ac:dyDescent="0.25"/>
  <cols>
    <col min="1" max="1" width="13.140625" style="4" customWidth="1"/>
    <col min="2" max="2" width="14.85546875" style="4"/>
    <col min="3" max="3" width="14.85546875" style="2"/>
    <col min="4" max="4" width="14.85546875" style="3"/>
    <col min="5" max="5" width="22.5703125" style="3" customWidth="1"/>
    <col min="6" max="6" width="21.7109375" style="35" customWidth="1"/>
    <col min="7" max="7" width="14.85546875" style="36"/>
    <col min="8" max="16384" width="14.85546875" style="2"/>
  </cols>
  <sheetData>
    <row r="1" spans="1:8" s="5" customFormat="1" ht="24.75" customHeight="1" x14ac:dyDescent="0.25">
      <c r="A1" s="341" t="s">
        <v>25</v>
      </c>
      <c r="B1" s="341"/>
      <c r="C1" s="341"/>
      <c r="D1" s="341"/>
      <c r="E1" s="341"/>
      <c r="F1" s="341"/>
      <c r="G1" s="341"/>
      <c r="H1" s="341"/>
    </row>
    <row r="2" spans="1:8" s="5" customFormat="1" ht="21.75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8" s="9" customFormat="1" ht="45.75" customHeight="1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8" s="12" customFormat="1" ht="25.5" x14ac:dyDescent="0.25">
      <c r="A4" s="181" t="s">
        <v>34</v>
      </c>
      <c r="B4" s="107">
        <v>2</v>
      </c>
      <c r="C4" s="107" t="s">
        <v>1</v>
      </c>
      <c r="D4" s="45" t="s">
        <v>281</v>
      </c>
      <c r="E4" s="45" t="s">
        <v>272</v>
      </c>
      <c r="F4" s="182" t="s">
        <v>282</v>
      </c>
      <c r="G4" s="183">
        <f t="shared" ref="G4:G6" si="0">22*10</f>
        <v>220</v>
      </c>
      <c r="H4" s="184">
        <v>13</v>
      </c>
    </row>
    <row r="5" spans="1:8" s="12" customFormat="1" ht="34.5" customHeight="1" x14ac:dyDescent="0.25">
      <c r="A5" s="185" t="s">
        <v>36</v>
      </c>
      <c r="B5" s="40">
        <v>1</v>
      </c>
      <c r="C5" s="39" t="s">
        <v>78</v>
      </c>
      <c r="D5" s="18" t="s">
        <v>281</v>
      </c>
      <c r="E5" s="61" t="s">
        <v>271</v>
      </c>
      <c r="F5" s="68" t="s">
        <v>79</v>
      </c>
      <c r="G5" s="84">
        <v>43560</v>
      </c>
      <c r="H5" s="186">
        <v>13</v>
      </c>
    </row>
    <row r="6" spans="1:8" s="12" customFormat="1" ht="26.25" thickBot="1" x14ac:dyDescent="0.3">
      <c r="A6" s="187" t="s">
        <v>35</v>
      </c>
      <c r="B6" s="188">
        <v>1</v>
      </c>
      <c r="C6" s="188" t="s">
        <v>1</v>
      </c>
      <c r="D6" s="189" t="s">
        <v>281</v>
      </c>
      <c r="E6" s="189" t="s">
        <v>272</v>
      </c>
      <c r="F6" s="190" t="s">
        <v>282</v>
      </c>
      <c r="G6" s="191">
        <f t="shared" si="0"/>
        <v>220</v>
      </c>
      <c r="H6" s="192">
        <v>13</v>
      </c>
    </row>
    <row r="7" spans="1:8" ht="24" customHeight="1" thickBot="1" x14ac:dyDescent="0.3">
      <c r="A7" s="133"/>
      <c r="B7" s="134"/>
      <c r="C7" s="135"/>
      <c r="D7" s="136"/>
      <c r="E7" s="136"/>
      <c r="F7" s="123" t="s">
        <v>23</v>
      </c>
      <c r="G7" s="123">
        <f>SUM(G5:G6)</f>
        <v>43780</v>
      </c>
      <c r="H7" s="137"/>
    </row>
  </sheetData>
  <sortState xmlns:xlrd2="http://schemas.microsoft.com/office/spreadsheetml/2017/richdata2" ref="A1:C17">
    <sortCondition ref="A1"/>
  </sortState>
  <mergeCells count="2">
    <mergeCell ref="A1:H1"/>
    <mergeCell ref="A2:H2"/>
  </mergeCells>
  <printOptions horizontalCentered="1"/>
  <pageMargins left="0.7" right="0.7" top="0.75" bottom="0.75" header="0.3" footer="0.3"/>
  <pageSetup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9"/>
  <sheetViews>
    <sheetView zoomScaleNormal="100" zoomScaleSheetLayoutView="90" workbookViewId="0">
      <selection activeCell="E5" sqref="E5"/>
    </sheetView>
  </sheetViews>
  <sheetFormatPr defaultColWidth="14.85546875" defaultRowHeight="15" x14ac:dyDescent="0.25"/>
  <cols>
    <col min="1" max="1" width="12.7109375" style="4" customWidth="1"/>
    <col min="2" max="2" width="14.85546875" style="2"/>
    <col min="3" max="3" width="14.85546875" style="3"/>
    <col min="4" max="4" width="22" style="3" customWidth="1"/>
    <col min="5" max="5" width="20.7109375" style="28" customWidth="1"/>
    <col min="6" max="6" width="21.7109375" style="37" customWidth="1"/>
    <col min="7" max="9" width="14.85546875" style="2"/>
    <col min="10" max="10" width="12.7109375" style="2" customWidth="1"/>
    <col min="11" max="16384" width="14.85546875" style="2"/>
  </cols>
  <sheetData>
    <row r="1" spans="1:9" s="5" customFormat="1" ht="21" customHeight="1" x14ac:dyDescent="0.25">
      <c r="A1" s="341" t="s">
        <v>26</v>
      </c>
      <c r="B1" s="341"/>
      <c r="C1" s="341"/>
      <c r="D1" s="341"/>
      <c r="E1" s="341"/>
      <c r="F1" s="341"/>
      <c r="G1" s="341"/>
      <c r="H1" s="341"/>
    </row>
    <row r="2" spans="1:9" s="5" customFormat="1" ht="27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9" s="9" customFormat="1" ht="39" thickBot="1" x14ac:dyDescent="0.3">
      <c r="A3" s="19" t="s">
        <v>2</v>
      </c>
      <c r="B3" s="62" t="s">
        <v>264</v>
      </c>
      <c r="C3" s="20" t="s">
        <v>3</v>
      </c>
      <c r="D3" s="20" t="s">
        <v>4</v>
      </c>
      <c r="E3" s="20" t="s">
        <v>9</v>
      </c>
      <c r="F3" s="26" t="s">
        <v>5</v>
      </c>
      <c r="G3" s="26" t="s">
        <v>10</v>
      </c>
      <c r="H3" s="21" t="s">
        <v>314</v>
      </c>
    </row>
    <row r="4" spans="1:9" s="12" customFormat="1" ht="30" customHeight="1" x14ac:dyDescent="0.25">
      <c r="A4" s="181" t="s">
        <v>37</v>
      </c>
      <c r="B4" s="107">
        <v>1</v>
      </c>
      <c r="C4" s="107" t="s">
        <v>12</v>
      </c>
      <c r="D4" s="45" t="s">
        <v>281</v>
      </c>
      <c r="E4" s="45" t="s">
        <v>272</v>
      </c>
      <c r="F4" s="45" t="s">
        <v>282</v>
      </c>
      <c r="G4" s="183">
        <f>(5.0463*5.0463)*3.1416</f>
        <v>80.001295416503979</v>
      </c>
      <c r="H4" s="184">
        <v>13</v>
      </c>
      <c r="I4" s="11"/>
    </row>
    <row r="5" spans="1:9" s="9" customFormat="1" ht="37.5" customHeight="1" x14ac:dyDescent="0.25">
      <c r="A5" s="193" t="s">
        <v>39</v>
      </c>
      <c r="B5" s="8">
        <v>2</v>
      </c>
      <c r="C5" s="10" t="s">
        <v>82</v>
      </c>
      <c r="D5" s="10" t="s">
        <v>281</v>
      </c>
      <c r="E5" s="10" t="s">
        <v>272</v>
      </c>
      <c r="F5" s="69" t="s">
        <v>83</v>
      </c>
      <c r="G5" s="27">
        <f>190*10</f>
        <v>1900</v>
      </c>
      <c r="H5" s="194">
        <v>13</v>
      </c>
    </row>
    <row r="6" spans="1:9" ht="29.25" customHeight="1" x14ac:dyDescent="0.25">
      <c r="A6" s="193" t="s">
        <v>40</v>
      </c>
      <c r="B6" s="8">
        <v>2</v>
      </c>
      <c r="C6" s="10" t="s">
        <v>20</v>
      </c>
      <c r="D6" s="10" t="s">
        <v>281</v>
      </c>
      <c r="E6" s="23" t="s">
        <v>271</v>
      </c>
      <c r="F6" s="69" t="s">
        <v>81</v>
      </c>
      <c r="G6" s="69">
        <v>43560</v>
      </c>
      <c r="H6" s="194">
        <v>13</v>
      </c>
      <c r="I6" s="13"/>
    </row>
    <row r="7" spans="1:9" ht="27" customHeight="1" x14ac:dyDescent="0.25">
      <c r="A7" s="193" t="s">
        <v>41</v>
      </c>
      <c r="B7" s="8">
        <v>2</v>
      </c>
      <c r="C7" s="10" t="s">
        <v>20</v>
      </c>
      <c r="D7" s="10" t="s">
        <v>281</v>
      </c>
      <c r="E7" s="23" t="s">
        <v>271</v>
      </c>
      <c r="F7" s="69" t="s">
        <v>80</v>
      </c>
      <c r="G7" s="69">
        <v>43560</v>
      </c>
      <c r="H7" s="194">
        <v>13</v>
      </c>
    </row>
    <row r="8" spans="1:9" s="12" customFormat="1" ht="27" customHeight="1" thickBot="1" x14ac:dyDescent="0.3">
      <c r="A8" s="187" t="s">
        <v>38</v>
      </c>
      <c r="B8" s="188">
        <v>5</v>
      </c>
      <c r="C8" s="188" t="s">
        <v>12</v>
      </c>
      <c r="D8" s="189" t="s">
        <v>281</v>
      </c>
      <c r="E8" s="189" t="s">
        <v>272</v>
      </c>
      <c r="F8" s="189" t="s">
        <v>282</v>
      </c>
      <c r="G8" s="191">
        <f>(5.0463*5.0463)*3.1416</f>
        <v>80.001295416503979</v>
      </c>
      <c r="H8" s="192">
        <v>13</v>
      </c>
      <c r="I8" s="11"/>
    </row>
    <row r="9" spans="1:9" ht="20.45" customHeight="1" thickBot="1" x14ac:dyDescent="0.3">
      <c r="A9" s="195"/>
      <c r="B9" s="196"/>
      <c r="C9" s="197"/>
      <c r="D9" s="197"/>
      <c r="E9" s="198"/>
      <c r="F9" s="123" t="s">
        <v>23</v>
      </c>
      <c r="G9" s="123">
        <f>SUM(G4:G7)</f>
        <v>89100.001295416499</v>
      </c>
      <c r="H9" s="199"/>
    </row>
  </sheetData>
  <mergeCells count="2">
    <mergeCell ref="A1:H1"/>
    <mergeCell ref="A2:H2"/>
  </mergeCells>
  <printOptions horizontalCentered="1"/>
  <pageMargins left="0.7" right="0.7" top="0.53" bottom="0.41" header="0.3" footer="0.3"/>
  <pageSetup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1"/>
  <sheetViews>
    <sheetView workbookViewId="0">
      <selection activeCell="E5" sqref="E5"/>
    </sheetView>
  </sheetViews>
  <sheetFormatPr defaultColWidth="14.85546875" defaultRowHeight="15" x14ac:dyDescent="0.25"/>
  <cols>
    <col min="1" max="1" width="12.85546875" style="4" customWidth="1"/>
    <col min="2" max="2" width="14.85546875" style="31"/>
    <col min="3" max="3" width="14.85546875" style="3"/>
    <col min="4" max="4" width="20.140625" style="3" customWidth="1"/>
    <col min="5" max="5" width="20.7109375" style="3" customWidth="1"/>
    <col min="6" max="6" width="21.7109375" style="2" customWidth="1"/>
    <col min="7" max="16384" width="14.85546875" style="2"/>
  </cols>
  <sheetData>
    <row r="1" spans="1:9" s="5" customFormat="1" ht="21" customHeight="1" x14ac:dyDescent="0.25">
      <c r="A1" s="341" t="s">
        <v>266</v>
      </c>
      <c r="B1" s="341"/>
      <c r="C1" s="341"/>
      <c r="D1" s="341"/>
      <c r="E1" s="341"/>
      <c r="F1" s="341"/>
      <c r="G1" s="341"/>
      <c r="H1" s="341"/>
    </row>
    <row r="2" spans="1:9" s="5" customFormat="1" ht="27" customHeight="1" thickBot="1" x14ac:dyDescent="0.3">
      <c r="A2" s="342" t="s">
        <v>265</v>
      </c>
      <c r="B2" s="342"/>
      <c r="C2" s="342"/>
      <c r="D2" s="342"/>
      <c r="E2" s="342"/>
      <c r="F2" s="342"/>
      <c r="G2" s="342"/>
      <c r="H2" s="342"/>
    </row>
    <row r="3" spans="1:9" s="9" customFormat="1" ht="39" thickBot="1" x14ac:dyDescent="0.3">
      <c r="A3" s="200" t="s">
        <v>2</v>
      </c>
      <c r="B3" s="201" t="s">
        <v>264</v>
      </c>
      <c r="C3" s="202" t="s">
        <v>3</v>
      </c>
      <c r="D3" s="202" t="s">
        <v>4</v>
      </c>
      <c r="E3" s="202" t="s">
        <v>9</v>
      </c>
      <c r="F3" s="203" t="s">
        <v>5</v>
      </c>
      <c r="G3" s="203" t="s">
        <v>10</v>
      </c>
      <c r="H3" s="204" t="s">
        <v>314</v>
      </c>
    </row>
    <row r="4" spans="1:9" s="12" customFormat="1" ht="25.5" x14ac:dyDescent="0.25">
      <c r="A4" s="181" t="s">
        <v>42</v>
      </c>
      <c r="B4" s="107">
        <v>1</v>
      </c>
      <c r="C4" s="45" t="s">
        <v>55</v>
      </c>
      <c r="D4" s="45" t="s">
        <v>281</v>
      </c>
      <c r="E4" s="45" t="s">
        <v>272</v>
      </c>
      <c r="F4" s="206" t="s">
        <v>282</v>
      </c>
      <c r="G4" s="183">
        <f>(15*5)*2</f>
        <v>150</v>
      </c>
      <c r="H4" s="184">
        <v>13</v>
      </c>
      <c r="I4" s="60"/>
    </row>
    <row r="5" spans="1:9" s="12" customFormat="1" ht="25.5" x14ac:dyDescent="0.25">
      <c r="A5" s="207" t="s">
        <v>43</v>
      </c>
      <c r="B5" s="17">
        <v>1</v>
      </c>
      <c r="C5" s="18" t="s">
        <v>55</v>
      </c>
      <c r="D5" s="10" t="s">
        <v>281</v>
      </c>
      <c r="E5" s="10" t="s">
        <v>272</v>
      </c>
      <c r="F5" s="22" t="s">
        <v>282</v>
      </c>
      <c r="G5" s="92">
        <f>(15*5)*2</f>
        <v>150</v>
      </c>
      <c r="H5" s="208">
        <v>13</v>
      </c>
      <c r="I5" s="60"/>
    </row>
    <row r="6" spans="1:9" s="12" customFormat="1" ht="25.5" x14ac:dyDescent="0.25">
      <c r="A6" s="207" t="s">
        <v>44</v>
      </c>
      <c r="B6" s="17">
        <v>1</v>
      </c>
      <c r="C6" s="8" t="s">
        <v>15</v>
      </c>
      <c r="D6" s="10" t="s">
        <v>281</v>
      </c>
      <c r="E6" s="10" t="s">
        <v>272</v>
      </c>
      <c r="F6" s="22" t="s">
        <v>282</v>
      </c>
      <c r="G6" s="92">
        <f>15*15</f>
        <v>225</v>
      </c>
      <c r="H6" s="208">
        <v>13</v>
      </c>
    </row>
    <row r="7" spans="1:9" s="12" customFormat="1" ht="25.5" x14ac:dyDescent="0.25">
      <c r="A7" s="207" t="s">
        <v>45</v>
      </c>
      <c r="B7" s="17">
        <v>1</v>
      </c>
      <c r="C7" s="10" t="s">
        <v>55</v>
      </c>
      <c r="D7" s="10" t="s">
        <v>281</v>
      </c>
      <c r="E7" s="10" t="s">
        <v>272</v>
      </c>
      <c r="F7" s="22" t="s">
        <v>282</v>
      </c>
      <c r="G7" s="92">
        <f t="shared" ref="G7:G14" si="0">(15*5)*2</f>
        <v>150</v>
      </c>
      <c r="H7" s="208">
        <v>13</v>
      </c>
    </row>
    <row r="8" spans="1:9" s="12" customFormat="1" ht="25.5" x14ac:dyDescent="0.25">
      <c r="A8" s="207" t="s">
        <v>46</v>
      </c>
      <c r="B8" s="17">
        <v>2</v>
      </c>
      <c r="C8" s="10" t="s">
        <v>55</v>
      </c>
      <c r="D8" s="10" t="s">
        <v>281</v>
      </c>
      <c r="E8" s="10" t="s">
        <v>272</v>
      </c>
      <c r="F8" s="22" t="s">
        <v>282</v>
      </c>
      <c r="G8" s="92">
        <f t="shared" si="0"/>
        <v>150</v>
      </c>
      <c r="H8" s="208">
        <v>13</v>
      </c>
    </row>
    <row r="9" spans="1:9" s="12" customFormat="1" ht="24" customHeight="1" x14ac:dyDescent="0.25">
      <c r="A9" s="207" t="s">
        <v>47</v>
      </c>
      <c r="B9" s="17">
        <v>2</v>
      </c>
      <c r="C9" s="10" t="s">
        <v>55</v>
      </c>
      <c r="D9" s="10" t="s">
        <v>281</v>
      </c>
      <c r="E9" s="10" t="s">
        <v>272</v>
      </c>
      <c r="F9" s="22" t="s">
        <v>282</v>
      </c>
      <c r="G9" s="92">
        <f t="shared" si="0"/>
        <v>150</v>
      </c>
      <c r="H9" s="208">
        <v>13</v>
      </c>
    </row>
    <row r="10" spans="1:9" s="12" customFormat="1" ht="27" customHeight="1" x14ac:dyDescent="0.25">
      <c r="A10" s="207" t="s">
        <v>48</v>
      </c>
      <c r="B10" s="17">
        <v>2</v>
      </c>
      <c r="C10" s="10" t="s">
        <v>55</v>
      </c>
      <c r="D10" s="10" t="s">
        <v>281</v>
      </c>
      <c r="E10" s="10" t="s">
        <v>272</v>
      </c>
      <c r="F10" s="22" t="s">
        <v>282</v>
      </c>
      <c r="G10" s="92">
        <f t="shared" si="0"/>
        <v>150</v>
      </c>
      <c r="H10" s="208">
        <v>13</v>
      </c>
    </row>
    <row r="11" spans="1:9" s="12" customFormat="1" ht="27.75" customHeight="1" x14ac:dyDescent="0.25">
      <c r="A11" s="207" t="s">
        <v>49</v>
      </c>
      <c r="B11" s="17">
        <v>2</v>
      </c>
      <c r="C11" s="10" t="s">
        <v>55</v>
      </c>
      <c r="D11" s="10" t="s">
        <v>281</v>
      </c>
      <c r="E11" s="10" t="s">
        <v>272</v>
      </c>
      <c r="F11" s="22" t="s">
        <v>282</v>
      </c>
      <c r="G11" s="92">
        <f t="shared" si="0"/>
        <v>150</v>
      </c>
      <c r="H11" s="208">
        <v>13</v>
      </c>
    </row>
    <row r="12" spans="1:9" s="12" customFormat="1" ht="29.25" customHeight="1" x14ac:dyDescent="0.25">
      <c r="A12" s="207" t="s">
        <v>50</v>
      </c>
      <c r="B12" s="17">
        <v>2</v>
      </c>
      <c r="C12" s="10" t="s">
        <v>55</v>
      </c>
      <c r="D12" s="10" t="s">
        <v>281</v>
      </c>
      <c r="E12" s="10" t="s">
        <v>272</v>
      </c>
      <c r="F12" s="22" t="s">
        <v>282</v>
      </c>
      <c r="G12" s="92">
        <f t="shared" si="0"/>
        <v>150</v>
      </c>
      <c r="H12" s="208">
        <v>13</v>
      </c>
    </row>
    <row r="13" spans="1:9" s="12" customFormat="1" ht="27" customHeight="1" x14ac:dyDescent="0.25">
      <c r="A13" s="207" t="s">
        <v>51</v>
      </c>
      <c r="B13" s="17">
        <v>2</v>
      </c>
      <c r="C13" s="10" t="s">
        <v>55</v>
      </c>
      <c r="D13" s="10" t="s">
        <v>281</v>
      </c>
      <c r="E13" s="10" t="s">
        <v>272</v>
      </c>
      <c r="F13" s="22" t="s">
        <v>282</v>
      </c>
      <c r="G13" s="92">
        <f t="shared" si="0"/>
        <v>150</v>
      </c>
      <c r="H13" s="208">
        <v>13</v>
      </c>
    </row>
    <row r="14" spans="1:9" s="12" customFormat="1" ht="25.5" customHeight="1" x14ac:dyDescent="0.25">
      <c r="A14" s="207" t="s">
        <v>52</v>
      </c>
      <c r="B14" s="17">
        <v>2</v>
      </c>
      <c r="C14" s="10" t="s">
        <v>55</v>
      </c>
      <c r="D14" s="10" t="s">
        <v>281</v>
      </c>
      <c r="E14" s="10" t="s">
        <v>272</v>
      </c>
      <c r="F14" s="22" t="s">
        <v>282</v>
      </c>
      <c r="G14" s="92">
        <f t="shared" si="0"/>
        <v>150</v>
      </c>
      <c r="H14" s="208">
        <v>13</v>
      </c>
    </row>
    <row r="15" spans="1:9" s="12" customFormat="1" ht="26.25" thickBot="1" x14ac:dyDescent="0.3">
      <c r="A15" s="209" t="s">
        <v>53</v>
      </c>
      <c r="B15" s="210">
        <v>2</v>
      </c>
      <c r="C15" s="188" t="s">
        <v>15</v>
      </c>
      <c r="D15" s="189" t="s">
        <v>281</v>
      </c>
      <c r="E15" s="189" t="s">
        <v>272</v>
      </c>
      <c r="F15" s="211" t="s">
        <v>282</v>
      </c>
      <c r="G15" s="191">
        <f>15*15</f>
        <v>225</v>
      </c>
      <c r="H15" s="212">
        <v>13</v>
      </c>
    </row>
    <row r="16" spans="1:9" ht="24" customHeight="1" thickBot="1" x14ac:dyDescent="0.3">
      <c r="A16" s="195"/>
      <c r="B16" s="120"/>
      <c r="C16" s="197"/>
      <c r="D16" s="197"/>
      <c r="E16" s="198"/>
      <c r="F16" s="205" t="s">
        <v>23</v>
      </c>
      <c r="G16" s="106">
        <f>SUM(G4:G15)</f>
        <v>1950</v>
      </c>
      <c r="H16" s="199"/>
    </row>
    <row r="17" spans="1:8" ht="18.75" x14ac:dyDescent="0.25">
      <c r="A17" s="55"/>
      <c r="B17" s="41"/>
    </row>
    <row r="18" spans="1:8" s="9" customFormat="1" ht="18.75" customHeight="1" x14ac:dyDescent="0.25">
      <c r="A18" s="42"/>
      <c r="B18" s="49"/>
      <c r="C18" s="42"/>
      <c r="D18" s="42"/>
      <c r="E18" s="42"/>
      <c r="F18" s="42"/>
      <c r="G18" s="42"/>
      <c r="H18" s="42"/>
    </row>
    <row r="19" spans="1:8" s="12" customFormat="1" ht="12.75" x14ac:dyDescent="0.25">
      <c r="A19" s="47"/>
      <c r="B19" s="48"/>
      <c r="C19" s="49"/>
      <c r="D19" s="49"/>
      <c r="E19" s="49"/>
      <c r="F19" s="50"/>
      <c r="G19" s="48"/>
      <c r="H19" s="43"/>
    </row>
    <row r="20" spans="1:8" x14ac:dyDescent="0.25">
      <c r="A20" s="47"/>
      <c r="B20" s="93"/>
      <c r="C20" s="49"/>
      <c r="D20" s="51"/>
      <c r="E20" s="51"/>
      <c r="F20" s="52"/>
      <c r="G20" s="48"/>
      <c r="H20" s="53"/>
    </row>
    <row r="21" spans="1:8" x14ac:dyDescent="0.25">
      <c r="A21" s="54"/>
      <c r="B21" s="93"/>
      <c r="C21" s="51"/>
      <c r="D21" s="51"/>
      <c r="E21" s="51"/>
      <c r="F21" s="52"/>
      <c r="G21" s="44"/>
      <c r="H21" s="44"/>
    </row>
  </sheetData>
  <mergeCells count="2">
    <mergeCell ref="A1:H1"/>
    <mergeCell ref="A2:H2"/>
  </mergeCells>
  <printOptions horizontalCentered="1"/>
  <pageMargins left="0.7" right="0.7" top="0.75" bottom="0.75" header="0.3" footer="0.3"/>
  <pageSetup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D458CB104FB458F6D3B60B89329AA" ma:contentTypeVersion="13" ma:contentTypeDescription="Create a new document." ma:contentTypeScope="" ma:versionID="b532537b788002b4acac46420f707d76">
  <xsd:schema xmlns:xsd="http://www.w3.org/2001/XMLSchema" xmlns:xs="http://www.w3.org/2001/XMLSchema" xmlns:p="http://schemas.microsoft.com/office/2006/metadata/properties" xmlns:ns3="6161d78c-2b5e-4a02-a683-b0d16ec2179f" xmlns:ns4="543af655-bc25-4581-ac07-b0be47619e75" targetNamespace="http://schemas.microsoft.com/office/2006/metadata/properties" ma:root="true" ma:fieldsID="cde57b94486e2aa4bf79eefabd367ff2" ns3:_="" ns4:_="">
    <xsd:import namespace="6161d78c-2b5e-4a02-a683-b0d16ec2179f"/>
    <xsd:import namespace="543af655-bc25-4581-ac07-b0be47619e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1d78c-2b5e-4a02-a683-b0d16ec217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af655-bc25-4581-ac07-b0be47619e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81177D-BC2C-4011-8BF3-B52076FB3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61d78c-2b5e-4a02-a683-b0d16ec2179f"/>
    <ds:schemaRef ds:uri="543af655-bc25-4581-ac07-b0be47619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7A812A-62A5-4A3F-B133-6658B40F8A6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161d78c-2b5e-4a02-a683-b0d16ec2179f"/>
    <ds:schemaRef ds:uri="http://www.w3.org/XML/1998/namespace"/>
    <ds:schemaRef ds:uri="http://purl.org/dc/elements/1.1/"/>
    <ds:schemaRef ds:uri="http://schemas.microsoft.com/office/infopath/2007/PartnerControls"/>
    <ds:schemaRef ds:uri="543af655-bc25-4581-ac07-b0be47619e7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2547C6-4A90-4757-959C-AB0AC7D1AC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Bid-Sheet</vt:lpstr>
      <vt:lpstr>512 RecArea</vt:lpstr>
      <vt:lpstr>C54Parking</vt:lpstr>
      <vt:lpstr>AP-1 RecArea</vt:lpstr>
      <vt:lpstr>StickMarsh RecArea</vt:lpstr>
      <vt:lpstr>TomLawton RecArea</vt:lpstr>
      <vt:lpstr>Taylor Creek</vt:lpstr>
      <vt:lpstr>Bull Creek</vt:lpstr>
      <vt:lpstr>Sawgrass Lake</vt:lpstr>
      <vt:lpstr>Three Forks</vt:lpstr>
      <vt:lpstr>TM Goodwin</vt:lpstr>
      <vt:lpstr>C54</vt:lpstr>
      <vt:lpstr>Fellsmere WMA</vt:lpstr>
      <vt:lpstr>Micco</vt:lpstr>
      <vt:lpstr>Blue Cypress</vt:lpstr>
      <vt:lpstr>FT. Drum</vt:lpstr>
      <vt:lpstr>'Bull Creek'!Print_Titles</vt:lpstr>
      <vt:lpstr>'TM Goodwin'!Print_Titles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hventer</dc:creator>
  <cp:lastModifiedBy>Debi Edwards</cp:lastModifiedBy>
  <cp:lastPrinted>2020-10-15T11:40:31Z</cp:lastPrinted>
  <dcterms:created xsi:type="dcterms:W3CDTF">2016-06-29T19:58:03Z</dcterms:created>
  <dcterms:modified xsi:type="dcterms:W3CDTF">2020-10-15T16:50:58Z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0x010100BDDD458CB104FB458F6D3B60B89329AA</vt:lpwstr>
  </property>
</Properties>
</file>